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 UNIDAD D\Daniel\DGE\DATOS\ESTADÍSTICAS\Fuente DGE\Prefinales 2020\7 Julio\"/>
    </mc:Choice>
  </mc:AlternateContent>
  <bookViews>
    <workbookView xWindow="0" yWindow="0" windowWidth="20490" windowHeight="7755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52511"/>
</workbook>
</file>

<file path=xl/calcChain.xml><?xml version="1.0" encoding="utf-8"?>
<calcChain xmlns="http://schemas.openxmlformats.org/spreadsheetml/2006/main">
  <c r="M57" i="6" l="1"/>
  <c r="I57" i="1" l="1"/>
  <c r="H57" i="1" l="1"/>
  <c r="E57" i="1" l="1"/>
  <c r="F58" i="6" l="1"/>
  <c r="M58" i="6" s="1"/>
  <c r="F12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31" i="2"/>
  <c r="G28" i="2"/>
  <c r="D28" i="2" l="1"/>
  <c r="D33" i="2"/>
  <c r="D32" i="2"/>
  <c r="D31" i="2" l="1"/>
  <c r="H28" i="2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F57" i="1" l="1"/>
  <c r="U61" i="1" s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D56" i="6" s="1"/>
  <c r="M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25" i="1"/>
  <c r="G29" i="1"/>
  <c r="F32" i="1"/>
  <c r="E30" i="2" s="1"/>
  <c r="D17" i="1" l="1"/>
  <c r="G12" i="1"/>
  <c r="G13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<sst xmlns="http://schemas.openxmlformats.org/spreadsheetml/2006/main" count="308" uniqueCount="132">
  <si>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</si>
  <si>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</si>
  <si>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</si>
  <si>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</si>
  <si>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</si>
  <si>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</si>
  <si>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</si>
  <si>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</si>
  <si>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</si>
  <si>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</si>
  <si>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</si>
  <si>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</si>
  <si>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</si>
  <si>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</si>
  <si>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</si>
  <si>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</si>
  <si>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</si>
  <si>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</si>
  <si>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</si>
  <si>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</si>
  <si>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</si>
  <si>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</si>
  <si>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</si>
  <si>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</si>
  <si>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</si>
  <si>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</si>
  <si>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</si>
  <si>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</si>
  <si>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</si>
  <si>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</si>
  <si>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</si>
  <si>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</si>
  <si>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</si>
  <si>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</si>
  <si>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</si>
  <si>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</si>
  <si>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</si>
  <si>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</si>
  <si>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</si>
  <si>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</si>
  <si>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</si>
  <si>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</si>
  <si>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</si>
  <si>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</si>
  <si>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</si>
  <si>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</si>
  <si>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</si>
  <si>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</si>
  <si>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</si>
  <si>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</si>
  <si>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</si>
  <si>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</si>
  <si>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</si>
  <si>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</si>
  <si>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</si>
  <si>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</si>
  <si>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</si>
  <si>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</si>
  <si>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</si>
  <si>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</si>
  <si>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</si>
  <si>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</si>
  <si>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</si>
  <si>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</si>
  <si>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</si>
  <si>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</si>
  <si>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</si>
  <si>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</si>
  <si>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</si>
  <si>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</si>
  <si>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</si>
  <si>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</si>
  <si>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</si>
  <si>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</si>
  <si>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</si>
  <si>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</si>
  <si>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</si>
  <si>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</si>
  <si>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</si>
  <si>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</si>
  <si>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</si>
  <si>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</si>
  <si>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</si>
  <si>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</si>
  <si>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</si>
  <si>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</si>
  <si>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</si>
  <si>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</si>
  <si>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</si>
  <si>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</si>
  <si>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</si>
  <si>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</si>
  <si>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</si>
  <si>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</si>
  <si>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</si>
  <si>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</si>
  <si>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</si>
  <si>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</si>
  <si>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</si>
  <si>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</si>
  <si>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</si>
  <si>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</si>
  <si>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</si>
  <si>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</si>
  <si>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</si>
  <si>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</si>
  <si>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</si>
  <si>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</si>
  <si>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</si>
  <si>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</si>
  <si>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</si>
  <si>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</si>
  <si>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</si>
  <si>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</si>
  <si>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</si>
  <si>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Cuadro N° 2 : Producción de energía eléctrica nacional según sistema y mercado 2020 vs 2019</t>
  </si>
  <si>
    <t>Cuadro N° 3 : Producción de energía eléctrica nacional según  mercado 2020 vs 2019</t>
  </si>
  <si>
    <t>Cuadro N° 5: Producción de energía eléctrica nacional por tipo de recurso energético 2020 vs 2019</t>
  </si>
  <si>
    <t>Cuadro N° 6: Producción de energía eléctrica con Recurso Convencional y No Convencional 2020 vs 2019</t>
  </si>
  <si>
    <t>Cuadro N° 7: Producción de energía eléctrica según tipo de participación en el Mercado Eléctrico 2020 vs 2019</t>
  </si>
  <si>
    <t>3.1 Producción de energía eléctrica (GWh) nacional según zona 2020 vs 2019</t>
  </si>
  <si>
    <t>Cuadro N° 4 : Producción de energía eléctrica nacional según destino y recurso 2020 vs 2019</t>
  </si>
  <si>
    <t>Feb-19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</si>
  <si>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(1)</t>
    </r>
  </si>
  <si>
    <t>(1): Incluye información de Recursos Renovables No Convencionales de Aislados</t>
  </si>
  <si>
    <t>1. RESUMEN NACIONAL AL MES DE JUNIO 2020</t>
  </si>
  <si>
    <t>Junio</t>
  </si>
  <si>
    <t>Enero - Junio</t>
  </si>
  <si>
    <t>Grafico N° 11: Generación de energía eléctrica por Región, al mes de junio 2020</t>
  </si>
  <si>
    <t>Cuadro N° 8: Producción de energía eléctrica nacional por zona del país, al mes de junio</t>
  </si>
  <si>
    <t>3.2 Producción de energía eléctrica (GWh) por origen y zona al mes de junio 2020</t>
  </si>
  <si>
    <t>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</si>
</sst>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 * #,##0.00_ ;_ * \-#,##0.00_ ;_ * &quot;-&quot;??_ ;_ @_ "/>
    <numFmt numFmtId="164" formatCode="_-* #,##0.00_-;\-* #,##0.00_-;_-* &quot;-&quot;??_-;_-@_-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_ * #,##0.0_ ;_ * \-#,##0.0_ ;_ * &quot;-&quot;??_ ;_ @_ 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12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8" xfId="0" applyFill="1" applyBorder="1"/>
    <xf numFmtId="0" fontId="0" fillId="0" borderId="18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2" xfId="0" applyFont="1" applyBorder="1"/>
    <xf numFmtId="0" fontId="0" fillId="0" borderId="22" xfId="0" applyFont="1" applyFill="1" applyBorder="1"/>
    <xf numFmtId="1" fontId="0" fillId="0" borderId="22" xfId="0" applyNumberFormat="1" applyFont="1" applyFill="1" applyBorder="1"/>
    <xf numFmtId="1" fontId="0" fillId="0" borderId="22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0" xfId="33743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4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2" xfId="0" applyNumberFormat="1" applyFont="1" applyFill="1" applyBorder="1" applyAlignment="1">
      <alignment horizontal="center" vertical="center"/>
    </xf>
    <xf numFmtId="3" fontId="95" fillId="70" borderId="66" xfId="0" applyNumberFormat="1" applyFont="1" applyFill="1" applyBorder="1" applyAlignment="1">
      <alignment horizontal="center" vertical="center"/>
    </xf>
    <xf numFmtId="178" fontId="98" fillId="70" borderId="29" xfId="33743" applyNumberFormat="1" applyFont="1" applyFill="1" applyBorder="1" applyAlignment="1">
      <alignment horizontal="center" vertical="center"/>
    </xf>
    <xf numFmtId="178" fontId="98" fillId="70" borderId="63" xfId="33743" applyNumberFormat="1" applyFont="1" applyFill="1" applyBorder="1" applyAlignment="1">
      <alignment horizontal="center" vertical="center"/>
    </xf>
    <xf numFmtId="178" fontId="98" fillId="70" borderId="67" xfId="33743" applyNumberFormat="1" applyFont="1" applyFill="1" applyBorder="1" applyAlignment="1">
      <alignment horizontal="center" vertical="center"/>
    </xf>
    <xf numFmtId="10" fontId="95" fillId="70" borderId="64" xfId="33743" applyNumberFormat="1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28" xfId="0" applyFont="1" applyFill="1" applyBorder="1" applyAlignment="1">
      <alignment horizontal="center"/>
    </xf>
    <xf numFmtId="3" fontId="95" fillId="70" borderId="34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3" xfId="0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8" fillId="70" borderId="18" xfId="0" applyFont="1" applyFill="1" applyBorder="1" applyAlignment="1">
      <alignment horizontal="center" wrapText="1"/>
    </xf>
    <xf numFmtId="178" fontId="98" fillId="70" borderId="50" xfId="33743" applyNumberFormat="1" applyFont="1" applyFill="1" applyBorder="1"/>
    <xf numFmtId="0" fontId="99" fillId="0" borderId="16" xfId="0" applyFont="1" applyBorder="1"/>
    <xf numFmtId="0" fontId="99" fillId="0" borderId="68" xfId="0" applyFont="1" applyBorder="1"/>
    <xf numFmtId="0" fontId="99" fillId="0" borderId="68" xfId="0" applyNumberFormat="1" applyFont="1" applyBorder="1" applyAlignment="1">
      <alignment vertical="center"/>
    </xf>
    <xf numFmtId="0" fontId="99" fillId="0" borderId="69" xfId="0" applyFont="1" applyBorder="1"/>
    <xf numFmtId="164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8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0" xfId="0" applyFont="1" applyFill="1" applyBorder="1" applyAlignment="1">
      <alignment horizontal="center"/>
    </xf>
    <xf numFmtId="0" fontId="0" fillId="69" borderId="47" xfId="0" applyFont="1" applyFill="1" applyBorder="1" applyAlignment="1">
      <alignment horizontal="center"/>
    </xf>
    <xf numFmtId="178" fontId="96" fillId="69" borderId="21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0" xfId="0" applyFont="1" applyFill="1" applyBorder="1"/>
    <xf numFmtId="0" fontId="0" fillId="68" borderId="37" xfId="0" applyFont="1" applyFill="1" applyBorder="1"/>
    <xf numFmtId="0" fontId="0" fillId="68" borderId="28" xfId="0" applyFont="1" applyFill="1" applyBorder="1"/>
    <xf numFmtId="0" fontId="0" fillId="68" borderId="40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0" xfId="0" applyNumberFormat="1" applyFont="1" applyFill="1" applyBorder="1"/>
    <xf numFmtId="3" fontId="0" fillId="68" borderId="37" xfId="0" applyNumberFormat="1" applyFont="1" applyFill="1" applyBorder="1"/>
    <xf numFmtId="3" fontId="0" fillId="68" borderId="28" xfId="0" applyNumberFormat="1" applyFont="1" applyFill="1" applyBorder="1"/>
    <xf numFmtId="4" fontId="0" fillId="68" borderId="37" xfId="0" applyNumberFormat="1" applyFont="1" applyFill="1" applyBorder="1"/>
    <xf numFmtId="0" fontId="0" fillId="68" borderId="25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4" fontId="0" fillId="68" borderId="36" xfId="0" applyNumberFormat="1" applyFont="1" applyFill="1" applyBorder="1"/>
    <xf numFmtId="3" fontId="0" fillId="68" borderId="27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46" xfId="0" applyFill="1" applyBorder="1"/>
    <xf numFmtId="0" fontId="104" fillId="68" borderId="29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4" xfId="0" applyFill="1" applyBorder="1"/>
    <xf numFmtId="0" fontId="92" fillId="68" borderId="28" xfId="0" applyFont="1" applyFill="1" applyBorder="1" applyAlignment="1">
      <alignment horizontal="center"/>
    </xf>
    <xf numFmtId="0" fontId="104" fillId="68" borderId="24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28" xfId="0" applyNumberFormat="1" applyFill="1" applyBorder="1"/>
    <xf numFmtId="9" fontId="96" fillId="68" borderId="30" xfId="33743" applyFont="1" applyFill="1" applyBorder="1" applyAlignment="1">
      <alignment horizontal="center"/>
    </xf>
    <xf numFmtId="0" fontId="0" fillId="68" borderId="25" xfId="0" applyFill="1" applyBorder="1" applyAlignment="1">
      <alignment horizontal="left" indent="5"/>
    </xf>
    <xf numFmtId="3" fontId="0" fillId="68" borderId="27" xfId="0" applyNumberFormat="1" applyFill="1" applyBorder="1"/>
    <xf numFmtId="9" fontId="96" fillId="68" borderId="32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1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55" xfId="0" applyNumberFormat="1" applyFont="1" applyFill="1" applyBorder="1" applyAlignment="1">
      <alignment vertical="center"/>
    </xf>
    <xf numFmtId="9" fontId="96" fillId="68" borderId="23" xfId="33743" applyNumberFormat="1" applyFont="1" applyFill="1" applyBorder="1" applyAlignment="1">
      <alignment horizontal="center" vertical="center"/>
    </xf>
    <xf numFmtId="0" fontId="0" fillId="68" borderId="44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56" xfId="0" applyNumberFormat="1" applyFont="1" applyFill="1" applyBorder="1" applyAlignment="1">
      <alignment vertical="center"/>
    </xf>
    <xf numFmtId="9" fontId="96" fillId="68" borderId="30" xfId="33743" applyNumberFormat="1" applyFont="1" applyFill="1" applyBorder="1" applyAlignment="1">
      <alignment horizontal="center" vertical="center"/>
    </xf>
    <xf numFmtId="0" fontId="0" fillId="68" borderId="43" xfId="0" applyFont="1" applyFill="1" applyBorder="1" applyAlignment="1">
      <alignment vertical="center"/>
    </xf>
    <xf numFmtId="4" fontId="0" fillId="68" borderId="25" xfId="0" applyNumberFormat="1" applyFont="1" applyFill="1" applyBorder="1" applyAlignment="1">
      <alignment vertical="center"/>
    </xf>
    <xf numFmtId="4" fontId="0" fillId="68" borderId="58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3" xfId="0" applyFont="1" applyFill="1" applyBorder="1" applyAlignment="1">
      <alignment horizontal="center" wrapText="1"/>
    </xf>
    <xf numFmtId="0" fontId="3" fillId="71" borderId="35" xfId="0" applyFont="1" applyFill="1" applyBorder="1" applyAlignment="1">
      <alignment horizontal="center" wrapText="1"/>
    </xf>
    <xf numFmtId="0" fontId="3" fillId="71" borderId="26" xfId="0" applyFont="1" applyFill="1" applyBorder="1" applyAlignment="1">
      <alignment horizontal="center" vertical="center"/>
    </xf>
    <xf numFmtId="9" fontId="96" fillId="71" borderId="38" xfId="33743" applyFont="1" applyFill="1" applyBorder="1" applyAlignment="1">
      <alignment horizontal="center" vertical="center"/>
    </xf>
    <xf numFmtId="0" fontId="3" fillId="71" borderId="25" xfId="0" applyFont="1" applyFill="1" applyBorder="1" applyAlignment="1">
      <alignment horizontal="left" indent="2"/>
    </xf>
    <xf numFmtId="0" fontId="0" fillId="71" borderId="32" xfId="0" applyFont="1" applyFill="1" applyBorder="1"/>
    <xf numFmtId="0" fontId="0" fillId="71" borderId="36" xfId="0" applyFont="1" applyFill="1" applyBorder="1"/>
    <xf numFmtId="0" fontId="0" fillId="71" borderId="27" xfId="0" applyFont="1" applyFill="1" applyBorder="1"/>
    <xf numFmtId="0" fontId="0" fillId="71" borderId="39" xfId="0" applyFont="1" applyFill="1" applyBorder="1"/>
    <xf numFmtId="3" fontId="0" fillId="71" borderId="33" xfId="0" applyNumberFormat="1" applyFill="1" applyBorder="1"/>
    <xf numFmtId="178" fontId="96" fillId="71" borderId="31" xfId="33743" applyNumberFormat="1" applyFont="1" applyFill="1" applyBorder="1" applyAlignment="1">
      <alignment horizontal="center"/>
    </xf>
    <xf numFmtId="3" fontId="0" fillId="71" borderId="34" xfId="0" applyNumberFormat="1" applyFont="1" applyFill="1" applyBorder="1"/>
    <xf numFmtId="178" fontId="96" fillId="71" borderId="21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6" xfId="33743" applyNumberFormat="1" applyFont="1" applyFill="1" applyBorder="1"/>
    <xf numFmtId="3" fontId="93" fillId="68" borderId="55" xfId="0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56" xfId="0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0" xfId="33743" applyNumberFormat="1" applyFont="1" applyFill="1" applyBorder="1"/>
    <xf numFmtId="3" fontId="93" fillId="68" borderId="71" xfId="0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8" xfId="0" applyFont="1" applyFill="1" applyBorder="1" applyAlignment="1">
      <alignment horizontal="center"/>
    </xf>
    <xf numFmtId="3" fontId="95" fillId="69" borderId="34" xfId="0" applyNumberFormat="1" applyFont="1" applyFill="1" applyBorder="1"/>
    <xf numFmtId="3" fontId="95" fillId="69" borderId="57" xfId="0" applyNumberFormat="1" applyFont="1" applyFill="1" applyBorder="1"/>
    <xf numFmtId="178" fontId="98" fillId="69" borderId="53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4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4" xfId="33744" applyNumberFormat="1" applyFont="1" applyFill="1" applyBorder="1"/>
    <xf numFmtId="180" fontId="95" fillId="70" borderId="50" xfId="33744" applyNumberFormat="1" applyFont="1" applyFill="1" applyBorder="1"/>
    <xf numFmtId="3" fontId="99" fillId="0" borderId="26" xfId="0" applyNumberFormat="1" applyFont="1" applyBorder="1"/>
    <xf numFmtId="3" fontId="99" fillId="0" borderId="73" xfId="0" applyNumberFormat="1" applyFont="1" applyBorder="1"/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4" xfId="0" applyNumberFormat="1" applyFont="1" applyFill="1" applyBorder="1"/>
    <xf numFmtId="0" fontId="92" fillId="69" borderId="75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77" xfId="0" applyFont="1" applyFill="1" applyBorder="1" applyAlignment="1">
      <alignment horizontal="center"/>
    </xf>
    <xf numFmtId="3" fontId="0" fillId="71" borderId="78" xfId="0" applyNumberFormat="1" applyFill="1" applyBorder="1"/>
    <xf numFmtId="3" fontId="0" fillId="68" borderId="77" xfId="0" applyNumberFormat="1" applyFill="1" applyBorder="1"/>
    <xf numFmtId="3" fontId="0" fillId="68" borderId="79" xfId="0" applyNumberFormat="1" applyFill="1" applyBorder="1"/>
    <xf numFmtId="3" fontId="0" fillId="71" borderId="80" xfId="0" applyNumberFormat="1" applyFont="1" applyFill="1" applyBorder="1"/>
    <xf numFmtId="0" fontId="92" fillId="0" borderId="77" xfId="0" applyFont="1" applyBorder="1" applyAlignment="1">
      <alignment horizontal="center"/>
    </xf>
    <xf numFmtId="0" fontId="92" fillId="69" borderId="77" xfId="0" applyFont="1" applyFill="1" applyBorder="1" applyAlignment="1">
      <alignment horizontal="center"/>
    </xf>
    <xf numFmtId="3" fontId="99" fillId="0" borderId="81" xfId="0" applyNumberFormat="1" applyFont="1" applyBorder="1"/>
    <xf numFmtId="3" fontId="99" fillId="0" borderId="82" xfId="0" applyNumberFormat="1" applyFont="1" applyBorder="1"/>
    <xf numFmtId="3" fontId="99" fillId="0" borderId="83" xfId="0" applyNumberFormat="1" applyFont="1" applyBorder="1"/>
    <xf numFmtId="3" fontId="95" fillId="70" borderId="80" xfId="0" applyNumberFormat="1" applyFont="1" applyFill="1" applyBorder="1"/>
    <xf numFmtId="178" fontId="98" fillId="70" borderId="84" xfId="33743" applyNumberFormat="1" applyFont="1" applyFill="1" applyBorder="1"/>
    <xf numFmtId="0" fontId="0" fillId="71" borderId="85" xfId="0" applyFont="1" applyFill="1" applyBorder="1" applyAlignment="1">
      <alignment horizontal="center"/>
    </xf>
    <xf numFmtId="3" fontId="0" fillId="71" borderId="86" xfId="0" applyNumberFormat="1" applyFont="1" applyFill="1" applyBorder="1"/>
    <xf numFmtId="3" fontId="0" fillId="71" borderId="87" xfId="0" applyNumberFormat="1" applyFont="1" applyFill="1" applyBorder="1"/>
    <xf numFmtId="3" fontId="0" fillId="71" borderId="88" xfId="0" applyNumberFormat="1" applyFont="1" applyFill="1" applyBorder="1"/>
    <xf numFmtId="0" fontId="0" fillId="71" borderId="89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0" xfId="0" applyNumberFormat="1" applyFont="1" applyFill="1" applyBorder="1"/>
    <xf numFmtId="0" fontId="0" fillId="71" borderId="91" xfId="0" applyFont="1" applyFill="1" applyBorder="1"/>
    <xf numFmtId="3" fontId="0" fillId="68" borderId="81" xfId="0" applyNumberFormat="1" applyFont="1" applyFill="1" applyBorder="1" applyAlignment="1">
      <alignment vertical="center"/>
    </xf>
    <xf numFmtId="3" fontId="0" fillId="68" borderId="77" xfId="0" applyNumberFormat="1" applyFont="1" applyFill="1" applyBorder="1" applyAlignment="1">
      <alignment vertical="center"/>
    </xf>
    <xf numFmtId="4" fontId="0" fillId="68" borderId="79" xfId="0" applyNumberFormat="1" applyFont="1" applyFill="1" applyBorder="1" applyAlignment="1">
      <alignment vertical="center"/>
    </xf>
    <xf numFmtId="3" fontId="95" fillId="70" borderId="93" xfId="0" applyNumberFormat="1" applyFont="1" applyFill="1" applyBorder="1" applyAlignment="1">
      <alignment horizontal="center" vertical="center"/>
    </xf>
    <xf numFmtId="178" fontId="98" fillId="70" borderId="94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96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97" xfId="0" applyNumberFormat="1" applyFill="1" applyBorder="1"/>
    <xf numFmtId="3" fontId="0" fillId="68" borderId="99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5" xfId="0" applyFill="1" applyBorder="1" applyAlignment="1">
      <alignment horizontal="left" indent="3"/>
    </xf>
    <xf numFmtId="0" fontId="0" fillId="68" borderId="43" xfId="0" applyFill="1" applyBorder="1" applyAlignment="1"/>
    <xf numFmtId="0" fontId="0" fillId="68" borderId="35" xfId="0" applyFill="1" applyBorder="1" applyAlignment="1">
      <alignment horizontal="left" indent="1"/>
    </xf>
    <xf numFmtId="0" fontId="0" fillId="68" borderId="100" xfId="0" applyFill="1" applyBorder="1" applyAlignment="1">
      <alignment horizontal="left" indent="1"/>
    </xf>
    <xf numFmtId="0" fontId="0" fillId="68" borderId="90" xfId="0" applyFill="1" applyBorder="1" applyAlignment="1">
      <alignment horizontal="left" indent="1"/>
    </xf>
    <xf numFmtId="9" fontId="96" fillId="68" borderId="30" xfId="33743" applyNumberFormat="1" applyFont="1" applyFill="1" applyBorder="1" applyAlignment="1">
      <alignment horizontal="center"/>
    </xf>
    <xf numFmtId="9" fontId="96" fillId="68" borderId="98" xfId="33743" applyNumberFormat="1" applyFont="1" applyFill="1" applyBorder="1" applyAlignment="1">
      <alignment horizontal="center"/>
    </xf>
    <xf numFmtId="0" fontId="0" fillId="68" borderId="35" xfId="0" applyFill="1" applyBorder="1" applyAlignment="1">
      <alignment vertical="center" wrapText="1"/>
    </xf>
    <xf numFmtId="0" fontId="0" fillId="68" borderId="100" xfId="0" applyFill="1" applyBorder="1"/>
    <xf numFmtId="0" fontId="0" fillId="68" borderId="37" xfId="0" applyFill="1" applyBorder="1" applyAlignment="1">
      <alignment wrapText="1"/>
    </xf>
    <xf numFmtId="0" fontId="0" fillId="68" borderId="90" xfId="0" applyFill="1" applyBorder="1"/>
    <xf numFmtId="0" fontId="0" fillId="68" borderId="36" xfId="0" applyFill="1" applyBorder="1"/>
    <xf numFmtId="167" fontId="100" fillId="62" borderId="0" xfId="0" applyNumberFormat="1" applyFont="1" applyFill="1" applyBorder="1"/>
    <xf numFmtId="3" fontId="99" fillId="0" borderId="55" xfId="0" applyNumberFormat="1" applyFont="1" applyBorder="1"/>
    <xf numFmtId="3" fontId="99" fillId="0" borderId="102" xfId="0" applyNumberFormat="1" applyFont="1" applyBorder="1"/>
    <xf numFmtId="3" fontId="99" fillId="0" borderId="103" xfId="0" applyNumberFormat="1" applyFont="1" applyBorder="1"/>
    <xf numFmtId="3" fontId="95" fillId="69" borderId="101" xfId="0" applyNumberFormat="1" applyFont="1" applyFill="1" applyBorder="1"/>
    <xf numFmtId="0" fontId="0" fillId="68" borderId="17" xfId="0" applyFont="1" applyFill="1" applyBorder="1" applyAlignment="1">
      <alignment vertical="center" wrapText="1"/>
    </xf>
    <xf numFmtId="3" fontId="0" fillId="68" borderId="60" xfId="0" applyNumberFormat="1" applyFill="1" applyBorder="1" applyAlignment="1">
      <alignment horizontal="center" vertical="center"/>
    </xf>
    <xf numFmtId="3" fontId="0" fillId="68" borderId="65" xfId="0" applyNumberFormat="1" applyFill="1" applyBorder="1" applyAlignment="1">
      <alignment horizontal="center" vertical="center"/>
    </xf>
    <xf numFmtId="3" fontId="0" fillId="68" borderId="92" xfId="0" applyNumberFormat="1" applyFill="1" applyBorder="1" applyAlignment="1">
      <alignment horizontal="center" vertical="center"/>
    </xf>
    <xf numFmtId="0" fontId="0" fillId="68" borderId="18" xfId="0" applyFont="1" applyFill="1" applyBorder="1" applyAlignment="1">
      <alignment wrapText="1"/>
    </xf>
    <xf numFmtId="3" fontId="0" fillId="68" borderId="61" xfId="0" applyNumberFormat="1" applyFill="1" applyBorder="1" applyAlignment="1">
      <alignment horizontal="center" vertical="center"/>
    </xf>
    <xf numFmtId="3" fontId="0" fillId="68" borderId="57" xfId="0" applyNumberFormat="1" applyFill="1" applyBorder="1" applyAlignment="1">
      <alignment horizontal="center" vertical="center"/>
    </xf>
    <xf numFmtId="3" fontId="0" fillId="68" borderId="80" xfId="0" applyNumberFormat="1" applyFill="1" applyBorder="1" applyAlignment="1">
      <alignment horizontal="center" vertical="center"/>
    </xf>
    <xf numFmtId="0" fontId="0" fillId="68" borderId="25" xfId="0" applyFill="1" applyBorder="1" applyAlignment="1">
      <alignment horizontal="left" indent="2"/>
    </xf>
    <xf numFmtId="9" fontId="96" fillId="68" borderId="32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46" xfId="0" applyFont="1" applyFill="1" applyBorder="1" applyAlignment="1">
      <alignment horizontal="center" vertical="center"/>
    </xf>
    <xf numFmtId="0" fontId="3" fillId="70" borderId="44" xfId="0" applyFont="1" applyFill="1" applyBorder="1" applyAlignment="1">
      <alignment horizontal="center" vertical="center"/>
    </xf>
    <xf numFmtId="0" fontId="3" fillId="70" borderId="52" xfId="0" applyFont="1" applyFill="1" applyBorder="1" applyAlignment="1">
      <alignment horizontal="center" vertical="center"/>
    </xf>
    <xf numFmtId="3" fontId="3" fillId="69" borderId="50" xfId="0" applyNumberFormat="1" applyFont="1" applyFill="1" applyBorder="1" applyAlignment="1">
      <alignment vertical="center"/>
    </xf>
    <xf numFmtId="3" fontId="3" fillId="69" borderId="57" xfId="0" applyNumberFormat="1" applyFont="1" applyFill="1" applyBorder="1" applyAlignment="1">
      <alignment vertical="center"/>
    </xf>
    <xf numFmtId="178" fontId="96" fillId="69" borderId="53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 applyAlignment="1">
      <alignment vertical="center"/>
    </xf>
    <xf numFmtId="178" fontId="96" fillId="69" borderId="21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06" xfId="0" applyBorder="1" applyAlignment="1">
      <alignment horizontal="center" vertical="center"/>
    </xf>
    <xf numFmtId="0" fontId="0" fillId="68" borderId="107" xfId="0" applyFill="1" applyBorder="1" applyAlignment="1">
      <alignment wrapText="1"/>
    </xf>
    <xf numFmtId="9" fontId="96" fillId="68" borderId="109" xfId="33743" applyNumberFormat="1" applyFont="1" applyFill="1" applyBorder="1" applyAlignment="1">
      <alignment horizontal="center"/>
    </xf>
    <xf numFmtId="167" fontId="99" fillId="0" borderId="102" xfId="0" applyNumberFormat="1" applyFont="1" applyBorder="1"/>
    <xf numFmtId="9" fontId="103" fillId="71" borderId="24" xfId="33743" applyNumberFormat="1" applyFont="1" applyFill="1" applyBorder="1" applyAlignment="1">
      <alignment horizontal="center"/>
    </xf>
    <xf numFmtId="9" fontId="103" fillId="71" borderId="90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46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58" xfId="0" applyNumberFormat="1" applyFill="1" applyBorder="1"/>
    <xf numFmtId="3" fontId="3" fillId="69" borderId="57" xfId="0" applyNumberFormat="1" applyFont="1" applyFill="1" applyBorder="1"/>
    <xf numFmtId="3" fontId="0" fillId="68" borderId="55" xfId="0" applyNumberFormat="1" applyFill="1" applyBorder="1"/>
    <xf numFmtId="0" fontId="95" fillId="70" borderId="18" xfId="0" applyFont="1" applyFill="1" applyBorder="1" applyAlignment="1">
      <alignment horizontal="center" vertical="center"/>
    </xf>
    <xf numFmtId="164" fontId="0" fillId="0" borderId="0" xfId="33743" applyNumberFormat="1" applyFont="1" applyBorder="1"/>
    <xf numFmtId="9" fontId="103" fillId="68" borderId="40" xfId="33743" applyNumberFormat="1" applyFont="1" applyFill="1" applyBorder="1" applyAlignment="1">
      <alignment horizontal="center"/>
    </xf>
    <xf numFmtId="9" fontId="103" fillId="68" borderId="39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6" xfId="33744" applyNumberFormat="1" applyFont="1" applyFill="1" applyBorder="1"/>
    <xf numFmtId="180" fontId="0" fillId="68" borderId="28" xfId="33744" applyNumberFormat="1" applyFont="1" applyFill="1" applyBorder="1"/>
    <xf numFmtId="180" fontId="0" fillId="68" borderId="70" xfId="33744" applyNumberFormat="1" applyFont="1" applyFill="1" applyBorder="1"/>
    <xf numFmtId="3" fontId="93" fillId="68" borderId="81" xfId="33743" applyNumberFormat="1" applyFont="1" applyFill="1" applyBorder="1"/>
    <xf numFmtId="3" fontId="93" fillId="68" borderId="77" xfId="33743" applyNumberFormat="1" applyFont="1" applyFill="1" applyBorder="1"/>
    <xf numFmtId="3" fontId="93" fillId="68" borderId="95" xfId="33743" applyNumberFormat="1" applyFont="1" applyFill="1" applyBorder="1"/>
    <xf numFmtId="3" fontId="95" fillId="69" borderId="80" xfId="0" applyNumberFormat="1" applyFont="1" applyFill="1" applyBorder="1"/>
    <xf numFmtId="0" fontId="92" fillId="69" borderId="111" xfId="0" applyFont="1" applyFill="1" applyBorder="1" applyAlignment="1">
      <alignment horizontal="center"/>
    </xf>
    <xf numFmtId="167" fontId="99" fillId="0" borderId="82" xfId="0" applyNumberFormat="1" applyFont="1" applyBorder="1"/>
    <xf numFmtId="167" fontId="99" fillId="0" borderId="73" xfId="0" applyNumberFormat="1" applyFont="1" applyBorder="1"/>
    <xf numFmtId="0" fontId="0" fillId="0" borderId="22" xfId="0" applyFont="1" applyBorder="1" applyAlignment="1">
      <alignment horizontal="center"/>
    </xf>
    <xf numFmtId="0" fontId="95" fillId="70" borderId="112" xfId="0" applyFont="1" applyFill="1" applyBorder="1" applyAlignment="1">
      <alignment horizontal="center"/>
    </xf>
    <xf numFmtId="180" fontId="0" fillId="68" borderId="113" xfId="33744" applyNumberFormat="1" applyFont="1" applyFill="1" applyBorder="1"/>
    <xf numFmtId="180" fontId="0" fillId="68" borderId="114" xfId="33744" applyNumberFormat="1" applyFont="1" applyFill="1" applyBorder="1"/>
    <xf numFmtId="43" fontId="0" fillId="68" borderId="114" xfId="33744" applyNumberFormat="1" applyFont="1" applyFill="1" applyBorder="1"/>
    <xf numFmtId="182" fontId="0" fillId="68" borderId="114" xfId="33744" applyNumberFormat="1" applyFont="1" applyFill="1" applyBorder="1"/>
    <xf numFmtId="180" fontId="0" fillId="68" borderId="115" xfId="33744" applyNumberFormat="1" applyFont="1" applyFill="1" applyBorder="1"/>
    <xf numFmtId="180" fontId="95" fillId="70" borderId="116" xfId="33744" applyNumberFormat="1" applyFont="1" applyFill="1" applyBorder="1"/>
    <xf numFmtId="0" fontId="92" fillId="68" borderId="54" xfId="0" applyFont="1" applyFill="1" applyBorder="1" applyAlignment="1">
      <alignment horizontal="center"/>
    </xf>
    <xf numFmtId="3" fontId="0" fillId="71" borderId="117" xfId="0" applyNumberFormat="1" applyFill="1" applyBorder="1"/>
    <xf numFmtId="3" fontId="0" fillId="68" borderId="56" xfId="0" applyNumberFormat="1" applyFill="1" applyBorder="1"/>
    <xf numFmtId="3" fontId="0" fillId="68" borderId="118" xfId="0" applyNumberFormat="1" applyFill="1" applyBorder="1"/>
    <xf numFmtId="3" fontId="0" fillId="71" borderId="57" xfId="0" applyNumberFormat="1" applyFont="1" applyFill="1" applyBorder="1"/>
    <xf numFmtId="0" fontId="92" fillId="0" borderId="54" xfId="0" applyFont="1" applyBorder="1" applyAlignment="1">
      <alignment horizontal="center"/>
    </xf>
    <xf numFmtId="0" fontId="95" fillId="70" borderId="78" xfId="0" applyFont="1" applyFill="1" applyBorder="1" applyAlignment="1">
      <alignment horizontal="center"/>
    </xf>
    <xf numFmtId="180" fontId="0" fillId="68" borderId="81" xfId="33744" applyNumberFormat="1" applyFont="1" applyFill="1" applyBorder="1"/>
    <xf numFmtId="180" fontId="0" fillId="68" borderId="77" xfId="33744" applyNumberFormat="1" applyFont="1" applyFill="1" applyBorder="1"/>
    <xf numFmtId="180" fontId="0" fillId="68" borderId="95" xfId="33744" applyNumberFormat="1" applyFont="1" applyFill="1" applyBorder="1"/>
    <xf numFmtId="180" fontId="95" fillId="70" borderId="80" xfId="33744" applyNumberFormat="1" applyFont="1" applyFill="1" applyBorder="1"/>
    <xf numFmtId="4" fontId="99" fillId="0" borderId="102" xfId="0" applyNumberFormat="1" applyFont="1" applyBorder="1"/>
    <xf numFmtId="4" fontId="99" fillId="0" borderId="73" xfId="0" applyNumberFormat="1" applyFont="1" applyBorder="1"/>
    <xf numFmtId="178" fontId="96" fillId="68" borderId="98" xfId="33743" applyNumberFormat="1" applyFont="1" applyFill="1" applyBorder="1" applyAlignment="1">
      <alignment horizontal="center"/>
    </xf>
    <xf numFmtId="178" fontId="96" fillId="68" borderId="30" xfId="33743" applyNumberFormat="1" applyFont="1" applyFill="1" applyBorder="1" applyAlignment="1">
      <alignment horizontal="center"/>
    </xf>
    <xf numFmtId="178" fontId="96" fillId="68" borderId="30" xfId="33743" applyNumberFormat="1" applyFont="1" applyFill="1" applyBorder="1" applyAlignment="1">
      <alignment horizontal="center" vertical="center"/>
    </xf>
    <xf numFmtId="4" fontId="99" fillId="0" borderId="82" xfId="0" applyNumberFormat="1" applyFont="1" applyBorder="1"/>
    <xf numFmtId="43" fontId="0" fillId="0" borderId="0" xfId="0" applyNumberFormat="1"/>
    <xf numFmtId="3" fontId="0" fillId="68" borderId="26" xfId="0" applyNumberFormat="1" applyFill="1" applyBorder="1" applyAlignment="1">
      <alignment vertical="center"/>
    </xf>
    <xf numFmtId="3" fontId="0" fillId="68" borderId="5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167" fontId="0" fillId="68" borderId="108" xfId="0" applyNumberFormat="1" applyFill="1" applyBorder="1"/>
    <xf numFmtId="167" fontId="0" fillId="68" borderId="119" xfId="0" applyNumberFormat="1" applyFill="1" applyBorder="1"/>
    <xf numFmtId="3" fontId="0" fillId="68" borderId="110" xfId="0" applyNumberFormat="1" applyFill="1" applyBorder="1"/>
    <xf numFmtId="3" fontId="0" fillId="68" borderId="119" xfId="0" applyNumberFormat="1" applyFill="1" applyBorder="1"/>
    <xf numFmtId="9" fontId="96" fillId="68" borderId="53" xfId="33743" applyNumberFormat="1" applyFont="1" applyFill="1" applyBorder="1" applyAlignment="1">
      <alignment horizontal="center" vertical="center"/>
    </xf>
    <xf numFmtId="9" fontId="96" fillId="68" borderId="21" xfId="33743" applyNumberFormat="1" applyFont="1" applyFill="1" applyBorder="1" applyAlignment="1">
      <alignment horizontal="center" vertical="center"/>
    </xf>
    <xf numFmtId="9" fontId="98" fillId="68" borderId="23" xfId="33743" applyNumberFormat="1" applyFont="1" applyFill="1" applyBorder="1"/>
    <xf numFmtId="9" fontId="98" fillId="68" borderId="30" xfId="33743" applyNumberFormat="1" applyFont="1" applyFill="1" applyBorder="1"/>
    <xf numFmtId="9" fontId="98" fillId="68" borderId="24" xfId="33743" applyNumberFormat="1" applyFont="1" applyFill="1" applyBorder="1"/>
    <xf numFmtId="9" fontId="98" fillId="0" borderId="16" xfId="33743" applyFont="1" applyBorder="1"/>
    <xf numFmtId="9" fontId="98" fillId="0" borderId="68" xfId="33743" applyFont="1" applyBorder="1"/>
    <xf numFmtId="178" fontId="98" fillId="0" borderId="68" xfId="33743" applyNumberFormat="1" applyFont="1" applyBorder="1"/>
    <xf numFmtId="9" fontId="98" fillId="0" borderId="68" xfId="33743" applyNumberFormat="1" applyFont="1" applyBorder="1"/>
    <xf numFmtId="9" fontId="98" fillId="0" borderId="69" xfId="33743" applyFont="1" applyBorder="1"/>
    <xf numFmtId="0" fontId="0" fillId="71" borderId="47" xfId="0" applyFont="1" applyFill="1" applyBorder="1" applyAlignment="1">
      <alignment horizontal="center"/>
    </xf>
    <xf numFmtId="0" fontId="0" fillId="71" borderId="48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71" borderId="20" xfId="0" applyFont="1" applyFill="1" applyBorder="1" applyAlignment="1">
      <alignment horizontal="center"/>
    </xf>
    <xf numFmtId="0" fontId="3" fillId="71" borderId="45" xfId="0" applyFont="1" applyFill="1" applyBorder="1" applyAlignment="1">
      <alignment horizont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1" xfId="0" applyFont="1" applyFill="1" applyBorder="1" applyAlignment="1">
      <alignment horizontal="center"/>
    </xf>
    <xf numFmtId="0" fontId="3" fillId="68" borderId="42" xfId="0" applyFont="1" applyFill="1" applyBorder="1" applyAlignment="1">
      <alignment horizontal="center"/>
    </xf>
    <xf numFmtId="0" fontId="104" fillId="0" borderId="29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92" fillId="68" borderId="76" xfId="0" applyFont="1" applyFill="1" applyBorder="1" applyAlignment="1">
      <alignment horizontal="center"/>
    </xf>
    <xf numFmtId="0" fontId="92" fillId="68" borderId="42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46" xfId="0" applyFont="1" applyFill="1" applyBorder="1" applyAlignment="1">
      <alignment horizontal="center"/>
    </xf>
    <xf numFmtId="0" fontId="92" fillId="69" borderId="76" xfId="0" applyFont="1" applyFill="1" applyBorder="1" applyAlignment="1">
      <alignment horizontal="center" vertical="center"/>
    </xf>
    <xf numFmtId="0" fontId="92" fillId="69" borderId="49" xfId="0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46" xfId="0" applyFont="1" applyFill="1" applyBorder="1" applyAlignment="1">
      <alignment horizontal="center" vertical="center"/>
    </xf>
    <xf numFmtId="0" fontId="3" fillId="70" borderId="59" xfId="0" applyFont="1" applyFill="1" applyBorder="1" applyAlignment="1">
      <alignment horizontal="center" vertical="center"/>
    </xf>
    <xf numFmtId="0" fontId="3" fillId="69" borderId="49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2" xfId="0" quotePrefix="1" applyNumberFormat="1" applyFont="1" applyFill="1" applyBorder="1" applyAlignment="1">
      <alignment horizontal="center"/>
    </xf>
    <xf numFmtId="0" fontId="95" fillId="70" borderId="19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1" xfId="0" applyFont="1" applyFill="1" applyBorder="1" applyAlignment="1">
      <alignment horizontal="center" vertical="center"/>
    </xf>
    <xf numFmtId="0" fontId="3" fillId="69" borderId="42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Junio 2020</a:t>
            </a:r>
          </a:p>
          <a:p>
            <a:pPr>
              <a:defRPr sz="800" b="1"/>
            </a:pPr>
            <a:r>
              <a:rPr lang="es-PE" sz="800" b="1"/>
              <a:t>Total : 4 051 GWh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47-4B77-B331-5D7ABFB940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48.773733741133803</c:v>
                </c:pt>
                <c:pt idx="1">
                  <c:v>113.26524878754994</c:v>
                </c:pt>
                <c:pt idx="2">
                  <c:v>2201.794646845603</c:v>
                </c:pt>
                <c:pt idx="3">
                  <c:v>1470.0836158628017</c:v>
                </c:pt>
                <c:pt idx="4">
                  <c:v>217.05731797999991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0A7-482F-8F07-827CA96EB194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1852.2511884092394</c:v>
                </c:pt>
                <c:pt idx="2" formatCode="_(* #,##0.00_);_(* \(#,##0.00\);_(* &quot;-&quot;??_);_(@_)">
                  <c:v>6.463E-3</c:v>
                </c:pt>
                <c:pt idx="3">
                  <c:v>1328.7316656397916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18-4C54-82B8-77873BAA70B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18-4C54-82B8-77873BAA70B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418-4C54-82B8-77873BAA70B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418-4C54-82B8-77873BAA70B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71.073567162500012</c:v>
                </c:pt>
                <c:pt idx="1">
                  <c:v>283.74598675830077</c:v>
                </c:pt>
                <c:pt idx="2" formatCode="_ * #,##0.0_ ;_ * \-#,##0.0_ ;_ * &quot;-&quot;??_ ;_ @_ ">
                  <c:v>55.06419019749999</c:v>
                </c:pt>
                <c:pt idx="3">
                  <c:v>104.50623002268208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38-45A7-BE0F-57B660BBCBAC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27.364626000000005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3180.9893170490309</c:v>
                </c:pt>
                <c:pt idx="1">
                  <c:v>514.38997414098287</c:v>
                </c:pt>
                <c:pt idx="2">
                  <c:v>328.23064602707569</c:v>
                </c:pt>
                <c:pt idx="3">
                  <c:v>27.364626000000005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70030624"/>
        <c:axId val="500081024"/>
      </c:barChart>
      <c:catAx>
        <c:axId val="37003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00081024"/>
        <c:crosses val="autoZero"/>
        <c:auto val="1"/>
        <c:lblAlgn val="ctr"/>
        <c:lblOffset val="100"/>
        <c:noMultiLvlLbl val="0"/>
      </c:catAx>
      <c:valAx>
        <c:axId val="50008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7003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CUSCO</c:v>
                </c:pt>
                <c:pt idx="5">
                  <c:v>PIURA</c:v>
                </c:pt>
                <c:pt idx="6">
                  <c:v>ANCASH</c:v>
                </c:pt>
                <c:pt idx="7">
                  <c:v>HUANUCO</c:v>
                </c:pt>
                <c:pt idx="8">
                  <c:v>LA LIBERTAD</c:v>
                </c:pt>
                <c:pt idx="9">
                  <c:v>ICA</c:v>
                </c:pt>
                <c:pt idx="10">
                  <c:v>AREQUIPA</c:v>
                </c:pt>
                <c:pt idx="11">
                  <c:v>CAJAMARCA</c:v>
                </c:pt>
                <c:pt idx="12">
                  <c:v>PUNO</c:v>
                </c:pt>
                <c:pt idx="13">
                  <c:v>PASCO</c:v>
                </c:pt>
                <c:pt idx="14">
                  <c:v>MOQUEGUA</c:v>
                </c:pt>
                <c:pt idx="15">
                  <c:v>LORETO</c:v>
                </c:pt>
                <c:pt idx="16">
                  <c:v>TACNA</c:v>
                </c:pt>
                <c:pt idx="17">
                  <c:v>SAN MARTÍN</c:v>
                </c:pt>
                <c:pt idx="18">
                  <c:v>LAMBAYEQUE</c:v>
                </c:pt>
                <c:pt idx="19">
                  <c:v>APURIMAC</c:v>
                </c:pt>
                <c:pt idx="20">
                  <c:v>AMAZONAS</c:v>
                </c:pt>
                <c:pt idx="21">
                  <c:v>UCAYALI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1648.5262151551885</c:v>
                </c:pt>
                <c:pt idx="1">
                  <c:v>820.05341761582463</c:v>
                </c:pt>
                <c:pt idx="2">
                  <c:v>207.07529559781079</c:v>
                </c:pt>
                <c:pt idx="3">
                  <c:v>198.80270650416662</c:v>
                </c:pt>
                <c:pt idx="4">
                  <c:v>188.30359894166662</c:v>
                </c:pt>
                <c:pt idx="5">
                  <c:v>130.35983094730994</c:v>
                </c:pt>
                <c:pt idx="6">
                  <c:v>125.79887281669224</c:v>
                </c:pt>
                <c:pt idx="7">
                  <c:v>121.98719465833342</c:v>
                </c:pt>
                <c:pt idx="8">
                  <c:v>107.09998207878446</c:v>
                </c:pt>
                <c:pt idx="9">
                  <c:v>99.170172396666672</c:v>
                </c:pt>
                <c:pt idx="10">
                  <c:v>89.822616110605964</c:v>
                </c:pt>
                <c:pt idx="11">
                  <c:v>77.012273153983045</c:v>
                </c:pt>
                <c:pt idx="12">
                  <c:v>70.660446279999988</c:v>
                </c:pt>
                <c:pt idx="13">
                  <c:v>57.321633563514943</c:v>
                </c:pt>
                <c:pt idx="14">
                  <c:v>49.484893710833333</c:v>
                </c:pt>
                <c:pt idx="15">
                  <c:v>27.364626000000005</c:v>
                </c:pt>
                <c:pt idx="16">
                  <c:v>12.512920084999998</c:v>
                </c:pt>
                <c:pt idx="17">
                  <c:v>4.8674580000000001</c:v>
                </c:pt>
                <c:pt idx="18">
                  <c:v>4.6282810141666682</c:v>
                </c:pt>
                <c:pt idx="19">
                  <c:v>3.4232074662955454</c:v>
                </c:pt>
                <c:pt idx="20">
                  <c:v>3.162272832831531</c:v>
                </c:pt>
                <c:pt idx="21">
                  <c:v>1.4239811375000002</c:v>
                </c:pt>
                <c:pt idx="22">
                  <c:v>1.1005480000000001</c:v>
                </c:pt>
                <c:pt idx="23">
                  <c:v>0.89280815741477493</c:v>
                </c:pt>
                <c:pt idx="24">
                  <c:v>0.11931099249999999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500079848"/>
        <c:axId val="500077496"/>
      </c:barChart>
      <c:catAx>
        <c:axId val="500079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500077496"/>
        <c:crosses val="autoZero"/>
        <c:auto val="1"/>
        <c:lblAlgn val="ctr"/>
        <c:lblOffset val="100"/>
        <c:noMultiLvlLbl val="0"/>
      </c:catAx>
      <c:valAx>
        <c:axId val="500077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5000798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72817887096451E-3"/>
                  <c:y val="1.217656012176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2225.3592908061128</c:v>
                </c:pt>
                <c:pt idx="1">
                  <c:v>2180.772060802748</c:v>
                </c:pt>
                <c:pt idx="2">
                  <c:v>148.60942900000001</c:v>
                </c:pt>
                <c:pt idx="3">
                  <c:v>52.892676999999999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2250.5683805867366</c:v>
                </c:pt>
                <c:pt idx="1">
                  <c:v>1583.3488646503517</c:v>
                </c:pt>
                <c:pt idx="2">
                  <c:v>161.98666478249993</c:v>
                </c:pt>
                <c:pt idx="3">
                  <c:v>55.070653197499986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530032"/>
        <c:axId val="595531208"/>
      </c:barChart>
      <c:catAx>
        <c:axId val="595530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5531208"/>
        <c:crosses val="autoZero"/>
        <c:auto val="1"/>
        <c:lblAlgn val="ctr"/>
        <c:lblOffset val="100"/>
        <c:noMultiLvlLbl val="0"/>
      </c:catAx>
      <c:valAx>
        <c:axId val="5955312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9553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188.18314599771708</c:v>
                </c:pt>
                <c:pt idx="1">
                  <c:v>172.60651681327431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4419.4503116111418</c:v>
                </c:pt>
                <c:pt idx="1">
                  <c:v>3878.3680464038139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9649512"/>
        <c:axId val="569650296"/>
        <c:axId val="432493624"/>
      </c:bar3DChart>
      <c:catAx>
        <c:axId val="56964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9650296"/>
        <c:crosses val="autoZero"/>
        <c:auto val="1"/>
        <c:lblAlgn val="ctr"/>
        <c:lblOffset val="100"/>
        <c:noMultiLvlLbl val="0"/>
      </c:catAx>
      <c:valAx>
        <c:axId val="56965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9649512"/>
        <c:crosses val="autoZero"/>
        <c:crossBetween val="between"/>
      </c:valAx>
      <c:serAx>
        <c:axId val="432493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6965029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2088.2698848186128</c:v>
                </c:pt>
                <c:pt idx="1">
                  <c:v>2107.1375644442364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2141.4858555927476</c:v>
                </c:pt>
                <c:pt idx="1">
                  <c:v>1544.4939817372192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137.08940598749999</c:v>
                </c:pt>
                <c:pt idx="1">
                  <c:v>143.43081614249999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240.78831121000002</c:v>
                </c:pt>
                <c:pt idx="1">
                  <c:v>255.91220089313239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43158104"/>
        <c:axId val="443159280"/>
        <c:axId val="0"/>
      </c:bar3DChart>
      <c:catAx>
        <c:axId val="44315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159280"/>
        <c:crosses val="autoZero"/>
        <c:auto val="1"/>
        <c:lblAlgn val="ctr"/>
        <c:lblOffset val="100"/>
        <c:noMultiLvlLbl val="0"/>
      </c:catAx>
      <c:valAx>
        <c:axId val="44315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158104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2250.5683805867366</c:v>
                </c:pt>
                <c:pt idx="1">
                  <c:v>1306.2628133365399</c:v>
                </c:pt>
                <c:pt idx="2">
                  <c:v>238.00463790310414</c:v>
                </c:pt>
                <c:pt idx="3">
                  <c:v>38.854882913132485</c:v>
                </c:pt>
                <c:pt idx="4">
                  <c:v>161.98666478249993</c:v>
                </c:pt>
                <c:pt idx="5">
                  <c:v>55.070653197499986</c:v>
                </c:pt>
                <c:pt idx="6" formatCode="#,##0.0">
                  <c:v>0.22653049757509988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3159672"/>
        <c:axId val="443160064"/>
      </c:barChart>
      <c:catAx>
        <c:axId val="44315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160064"/>
        <c:crosses val="autoZero"/>
        <c:auto val="1"/>
        <c:lblAlgn val="ctr"/>
        <c:lblOffset val="100"/>
        <c:noMultiLvlLbl val="0"/>
      </c:catAx>
      <c:valAx>
        <c:axId val="44316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159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37-4694-BAD5-10A4F4B0424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37-4694-BAD5-10A4F4B0424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4366.8451463988595</c:v>
                </c:pt>
                <c:pt idx="1">
                  <c:v>3795.0623623239553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(1)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4E-4059-B774-614AB2D2630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4E-4059-B774-614AB2D2630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240.78831121000002</c:v>
                </c:pt>
                <c:pt idx="1">
                  <c:v>255.91220089313239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443156928"/>
        <c:axId val="443157320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5330716549030166E-2"/>
                  <c:y val="-3.5286000250162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0FD-488B-8AB7-48A84AE60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948808545833543E-2"/>
                  <c:y val="-5.077530038684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FD-488B-8AB7-48A84AE604A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5.2258564711212423E-2</c:v>
                </c:pt>
                <c:pt idx="1">
                  <c:v>6.3172996250536642E-2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31016"/>
        <c:axId val="443157712"/>
      </c:lineChart>
      <c:catAx>
        <c:axId val="44315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157320"/>
        <c:crosses val="autoZero"/>
        <c:auto val="1"/>
        <c:lblAlgn val="ctr"/>
        <c:lblOffset val="100"/>
        <c:noMultiLvlLbl val="1"/>
      </c:catAx>
      <c:valAx>
        <c:axId val="4431573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43156928"/>
        <c:crosses val="autoZero"/>
        <c:crossBetween val="between"/>
        <c:majorUnit val="1000"/>
      </c:valAx>
      <c:valAx>
        <c:axId val="443157712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70031016"/>
        <c:crosses val="max"/>
        <c:crossBetween val="between"/>
      </c:valAx>
      <c:catAx>
        <c:axId val="370031016"/>
        <c:scaling>
          <c:orientation val="minMax"/>
        </c:scaling>
        <c:delete val="1"/>
        <c:axPos val="b"/>
        <c:majorTickMark val="out"/>
        <c:minorTickMark val="none"/>
        <c:tickLblPos val="nextTo"/>
        <c:crossAx val="443157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0693217125727976"/>
                  <c:y val="-0.122155179237783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0937813558810065"/>
                  <c:y val="0.255011500250296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053707138052757"/>
                  <c:y val="-7.4219816999410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1F6-4538-A631-E09024FD6E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2524437960552937"/>
                  <c:y val="-4.06505696609684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2225.3592908061128</c:v>
                </c:pt>
                <c:pt idx="1">
                  <c:v>1977.9327549999998</c:v>
                </c:pt>
                <c:pt idx="2">
                  <c:v>163.19210059274701</c:v>
                </c:pt>
                <c:pt idx="3" formatCode="#,##0.00">
                  <c:v>0.36099999999999999</c:v>
                </c:pt>
                <c:pt idx="4">
                  <c:v>39.28620521000002</c:v>
                </c:pt>
                <c:pt idx="5">
                  <c:v>148.60942900000001</c:v>
                </c:pt>
                <c:pt idx="6">
                  <c:v>52.892676999999999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6613689363606776"/>
                  <c:y val="-0.199220235088975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5907204892861787"/>
                  <c:y val="0.205453950500425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2117313151581134E-2"/>
                  <c:y val="-8.8379116927944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FCD-4ECA-B69A-AB2E7C5210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0371440557237165"/>
                  <c:y val="-6.5051112842930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2250.5683805867366</c:v>
                </c:pt>
                <c:pt idx="1">
                  <c:v>1306.2628133365399</c:v>
                </c:pt>
                <c:pt idx="2">
                  <c:v>238.00463790310414</c:v>
                </c:pt>
                <c:pt idx="3" formatCode="#,##0.00">
                  <c:v>0.22653049757509988</c:v>
                </c:pt>
                <c:pt idx="4">
                  <c:v>38.854882913132485</c:v>
                </c:pt>
                <c:pt idx="5">
                  <c:v>161.98666478249993</c:v>
                </c:pt>
                <c:pt idx="6">
                  <c:v>55.070653197499986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F3-4B8C-A071-F881905C8C1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F3-4B8C-A071-F881905C8C1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DF3-4B8C-A071-F881905C8C1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DF3-4B8C-A071-F881905C8C16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90.913097619999917</c:v>
                </c:pt>
                <c:pt idx="1">
                  <c:v>114.57120541919637</c:v>
                </c:pt>
                <c:pt idx="2">
                  <c:v>0</c:v>
                </c:pt>
                <c:pt idx="3">
                  <c:v>122.74634298787942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junio 2020</a:t>
          </a:r>
        </a:p>
      </xdr:txBody>
    </xdr:sp>
    <xdr:clientData/>
  </xdr:twoCellAnchor>
  <xdr:twoCellAnchor>
    <xdr:from>
      <xdr:col>2</xdr:col>
      <xdr:colOff>337008</xdr:colOff>
      <xdr:row>59</xdr:row>
      <xdr:rowOff>0</xdr:rowOff>
    </xdr:from>
    <xdr:to>
      <xdr:col>8</xdr:col>
      <xdr:colOff>125016</xdr:colOff>
      <xdr:row>61</xdr:row>
      <xdr:rowOff>63500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067258" y="9993313"/>
          <a:ext cx="538394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2020 vs 2019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/>
      </xdr:nvGrpSpPr>
      <xdr:grpSpPr>
        <a:xfrm>
          <a:off x="709894" y="1188664"/>
          <a:ext cx="6691032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xmlns="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015506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330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6555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xmlns="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190501</xdr:colOff>
      <xdr:row>18</xdr:row>
      <xdr:rowOff>39461</xdr:rowOff>
    </xdr:from>
    <xdr:to>
      <xdr:col>5</xdr:col>
      <xdr:colOff>520495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pSpPr/>
      </xdr:nvGrpSpPr>
      <xdr:grpSpPr>
        <a:xfrm>
          <a:off x="557894" y="3305175"/>
          <a:ext cx="4003922" cy="554490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xmlns="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xmlns="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xmlns="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xmlns="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xmlns="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xmlns="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tabSelected="1" view="pageBreakPreview" topLeftCell="B1" zoomScaleNormal="120" zoomScaleSheetLayoutView="100" workbookViewId="0">
      <selection activeCell="C3" sqref="C3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5.710937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111</v>
      </c>
    </row>
    <row r="8" spans="2:19" s="1" customFormat="1">
      <c r="B8" s="8"/>
      <c r="C8" s="129"/>
      <c r="D8" s="129"/>
      <c r="E8" s="129"/>
      <c r="F8" s="129"/>
      <c r="G8" s="129"/>
      <c r="H8" s="9"/>
      <c r="I8" s="9"/>
      <c r="J8" s="9"/>
      <c r="K8" s="9"/>
    </row>
    <row r="9" spans="2:19" s="1" customFormat="1" ht="25.5">
      <c r="B9" s="8"/>
      <c r="C9" s="178" t="s">
        <v>62</v>
      </c>
      <c r="D9" s="179" t="s">
        <v>69</v>
      </c>
      <c r="E9" s="180" t="s">
        <v>70</v>
      </c>
      <c r="F9" s="181" t="s">
        <v>71</v>
      </c>
      <c r="G9" s="182" t="s">
        <v>72</v>
      </c>
      <c r="H9" s="9"/>
      <c r="I9" s="9"/>
      <c r="J9" s="9"/>
      <c r="K9" s="9"/>
    </row>
    <row r="10" spans="2:19" s="1" customFormat="1" ht="13.5" thickBot="1">
      <c r="B10" s="8"/>
      <c r="C10" s="183" t="s">
        <v>63</v>
      </c>
      <c r="D10" s="184"/>
      <c r="E10" s="185"/>
      <c r="F10" s="186"/>
      <c r="G10" s="187"/>
      <c r="H10" s="9"/>
      <c r="I10" s="9"/>
      <c r="J10" s="9"/>
      <c r="K10" s="9"/>
    </row>
    <row r="11" spans="2:19" s="1" customFormat="1" ht="13.5" thickTop="1">
      <c r="B11" s="8"/>
      <c r="C11" s="130"/>
      <c r="D11" s="131"/>
      <c r="E11" s="132"/>
      <c r="F11" s="133"/>
      <c r="G11" s="134"/>
      <c r="H11" s="9"/>
      <c r="I11" s="9"/>
      <c r="J11" s="9"/>
      <c r="K11" s="9"/>
      <c r="Q11" s="386" t="s">
        <v>64</v>
      </c>
      <c r="R11" s="144" t="s">
        <v>41</v>
      </c>
      <c r="S11" s="145">
        <f>E12</f>
        <v>48.773733741133803</v>
      </c>
    </row>
    <row r="12" spans="2:19" s="1" customFormat="1">
      <c r="B12" s="8"/>
      <c r="C12" s="135" t="s">
        <v>66</v>
      </c>
      <c r="D12" s="136">
        <v>2201.794646845603</v>
      </c>
      <c r="E12" s="137">
        <v>48.773733741133803</v>
      </c>
      <c r="F12" s="138">
        <f>SUM(D12:E12)</f>
        <v>2250.5683805867366</v>
      </c>
      <c r="G12" s="320">
        <f>(F12/F$16)</f>
        <v>0.55556220989929983</v>
      </c>
      <c r="H12" s="9"/>
      <c r="I12" s="9"/>
      <c r="J12" s="9"/>
      <c r="K12" s="9"/>
      <c r="Q12" s="386"/>
      <c r="R12" s="144" t="s">
        <v>73</v>
      </c>
      <c r="S12" s="145">
        <f>E13</f>
        <v>113.26524878754994</v>
      </c>
    </row>
    <row r="13" spans="2:19" s="1" customFormat="1">
      <c r="B13" s="8"/>
      <c r="C13" s="135" t="s">
        <v>65</v>
      </c>
      <c r="D13" s="136">
        <v>1470.0836158628017</v>
      </c>
      <c r="E13" s="137">
        <v>113.26524878754994</v>
      </c>
      <c r="F13" s="138">
        <f>SUM(D13:E13)</f>
        <v>1583.3488646503517</v>
      </c>
      <c r="G13" s="320">
        <f>(F13/F$16)-0.002</f>
        <v>0.38885628407227824</v>
      </c>
      <c r="H13" s="9"/>
      <c r="I13" s="9"/>
      <c r="J13" s="9"/>
      <c r="K13" s="9"/>
      <c r="Q13" s="386" t="s">
        <v>88</v>
      </c>
      <c r="R13" s="144" t="s">
        <v>41</v>
      </c>
      <c r="S13" s="145">
        <f>D12</f>
        <v>2201.794646845603</v>
      </c>
    </row>
    <row r="14" spans="2:19" s="1" customFormat="1">
      <c r="B14" s="8"/>
      <c r="C14" s="135" t="s">
        <v>67</v>
      </c>
      <c r="D14" s="136">
        <v>161.98666478249993</v>
      </c>
      <c r="E14" s="139"/>
      <c r="F14" s="138">
        <f>SUM(D14:E14)</f>
        <v>161.98666478249993</v>
      </c>
      <c r="G14" s="320">
        <f>(F14/F$16)</f>
        <v>3.9987085145718103E-2</v>
      </c>
      <c r="H14" s="9"/>
      <c r="I14" s="9"/>
      <c r="J14" s="9"/>
      <c r="K14" s="9"/>
      <c r="Q14" s="386"/>
      <c r="R14" s="144" t="s">
        <v>73</v>
      </c>
      <c r="S14" s="145">
        <f>D13</f>
        <v>1470.0836158628017</v>
      </c>
    </row>
    <row r="15" spans="2:19" s="1" customFormat="1" ht="13.5" thickBot="1">
      <c r="B15" s="8"/>
      <c r="C15" s="140" t="s">
        <v>5</v>
      </c>
      <c r="D15" s="141">
        <v>55.070653197499986</v>
      </c>
      <c r="E15" s="142"/>
      <c r="F15" s="143">
        <f>SUM(D15:E15)</f>
        <v>55.070653197499986</v>
      </c>
      <c r="G15" s="321">
        <f>(F15/F$16)</f>
        <v>1.3594420882703724E-2</v>
      </c>
      <c r="H15" s="9"/>
      <c r="I15" s="9"/>
      <c r="J15" s="9"/>
      <c r="K15" s="9"/>
      <c r="Q15" s="386"/>
      <c r="R15" s="144" t="s">
        <v>87</v>
      </c>
      <c r="S15" s="145">
        <f>SUM(D14:D15)</f>
        <v>217.05731797999991</v>
      </c>
    </row>
    <row r="16" spans="2:19" s="1" customFormat="1" ht="13.5" thickTop="1">
      <c r="B16" s="8"/>
      <c r="C16" s="238" t="s">
        <v>71</v>
      </c>
      <c r="D16" s="239">
        <f>SUM(D12:D15)</f>
        <v>3888.935580688405</v>
      </c>
      <c r="E16" s="240">
        <f>SUM(E12:E15)</f>
        <v>162.03898252868373</v>
      </c>
      <c r="F16" s="241">
        <f>SUM(F12:F15)</f>
        <v>4050.9745632170889</v>
      </c>
      <c r="G16" s="242"/>
      <c r="H16" s="9"/>
      <c r="I16" s="9"/>
      <c r="J16" s="9"/>
      <c r="K16" s="9"/>
    </row>
    <row r="17" spans="2:19" s="1" customFormat="1">
      <c r="B17" s="8"/>
      <c r="C17" s="243" t="s">
        <v>107</v>
      </c>
      <c r="D17" s="307">
        <f>D16/F16</f>
        <v>0.96</v>
      </c>
      <c r="E17" s="308">
        <f>E16/F16</f>
        <v>4.0000000000000042E-2</v>
      </c>
      <c r="F17" s="244"/>
      <c r="G17" s="245"/>
      <c r="H17" s="9"/>
      <c r="I17" s="9"/>
      <c r="J17" s="9"/>
      <c r="K17" s="9"/>
    </row>
    <row r="18" spans="2:19" s="1" customFormat="1">
      <c r="B18" s="8"/>
      <c r="C18" s="130"/>
      <c r="D18" s="130"/>
      <c r="E18" s="130"/>
      <c r="F18" s="130"/>
      <c r="G18" s="130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115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0"/>
      <c r="D22" s="130"/>
      <c r="E22" s="130"/>
      <c r="F22" s="130"/>
      <c r="G22" s="130"/>
      <c r="H22" s="129"/>
      <c r="I22" s="129"/>
      <c r="J22" s="129"/>
      <c r="K22" s="9"/>
    </row>
    <row r="23" spans="2:19" s="1" customFormat="1" ht="12.75" customHeight="1">
      <c r="B23" s="8"/>
      <c r="C23" s="393" t="s">
        <v>110</v>
      </c>
      <c r="D23" s="394"/>
      <c r="E23" s="387" t="s">
        <v>126</v>
      </c>
      <c r="F23" s="388"/>
      <c r="G23" s="149" t="s">
        <v>74</v>
      </c>
      <c r="H23" s="391" t="s">
        <v>127</v>
      </c>
      <c r="I23" s="392"/>
      <c r="J23" s="149" t="s">
        <v>74</v>
      </c>
      <c r="K23" s="9"/>
      <c r="Q23" s="144"/>
      <c r="R23" s="144">
        <v>2019</v>
      </c>
      <c r="S23" s="144">
        <v>2020</v>
      </c>
    </row>
    <row r="24" spans="2:19" s="1" customFormat="1" ht="12.75" customHeight="1">
      <c r="B24" s="8"/>
      <c r="C24" s="150"/>
      <c r="D24" s="151"/>
      <c r="E24" s="152">
        <v>2019</v>
      </c>
      <c r="F24" s="342">
        <v>2020</v>
      </c>
      <c r="G24" s="153"/>
      <c r="H24" s="226">
        <v>2019</v>
      </c>
      <c r="I24" s="342">
        <v>2020</v>
      </c>
      <c r="J24" s="153"/>
      <c r="K24" s="9"/>
      <c r="Q24" s="144" t="s">
        <v>76</v>
      </c>
      <c r="R24" s="145">
        <f>E29</f>
        <v>188.18314599771708</v>
      </c>
      <c r="S24" s="145">
        <f>F29</f>
        <v>172.60651681327431</v>
      </c>
    </row>
    <row r="25" spans="2:19" s="1" customFormat="1">
      <c r="B25" s="8"/>
      <c r="C25" s="382" t="s">
        <v>0</v>
      </c>
      <c r="D25" s="383"/>
      <c r="E25" s="188">
        <f>SUM(E26:E28)</f>
        <v>4419.4503116111418</v>
      </c>
      <c r="F25" s="343">
        <f>SUM(F26:F28)</f>
        <v>3878.3680464038139</v>
      </c>
      <c r="G25" s="189">
        <f>((F25/E25)-1)</f>
        <v>-0.12243202820625732</v>
      </c>
      <c r="H25" s="227">
        <f>SUM(H26:H28)</f>
        <v>27171.727518854874</v>
      </c>
      <c r="I25" s="343">
        <f>SUM(I26:I28)</f>
        <v>23885.653973025856</v>
      </c>
      <c r="J25" s="189">
        <f>((I25/H25)-1)</f>
        <v>-0.12093723314238158</v>
      </c>
      <c r="K25" s="9"/>
      <c r="Q25" s="144" t="s">
        <v>0</v>
      </c>
      <c r="R25" s="145">
        <f>E25</f>
        <v>4419.4503116111418</v>
      </c>
      <c r="S25" s="145">
        <f>F25</f>
        <v>3878.3680464038139</v>
      </c>
    </row>
    <row r="26" spans="2:19" s="1" customFormat="1">
      <c r="B26" s="8"/>
      <c r="C26" s="259" t="s">
        <v>62</v>
      </c>
      <c r="D26" s="267" t="s">
        <v>102</v>
      </c>
      <c r="E26" s="155">
        <v>4290.6292357024977</v>
      </c>
      <c r="F26" s="344">
        <v>3756.7117709449985</v>
      </c>
      <c r="G26" s="156">
        <f t="shared" ref="G26:G32" si="0">((F26/E26)-1)</f>
        <v>-0.12443803354406635</v>
      </c>
      <c r="H26" s="228">
        <v>26357.008050737491</v>
      </c>
      <c r="I26" s="344">
        <v>23143.706118090005</v>
      </c>
      <c r="J26" s="156">
        <f t="shared" ref="J26:J32" si="1">((I26/H26)-1)</f>
        <v>-0.12191451800833575</v>
      </c>
      <c r="K26" s="9"/>
    </row>
    <row r="27" spans="2:19" s="1" customFormat="1">
      <c r="B27" s="8"/>
      <c r="C27" s="260" t="s">
        <v>104</v>
      </c>
      <c r="D27" s="268" t="s">
        <v>77</v>
      </c>
      <c r="E27" s="262">
        <v>85.860914432499996</v>
      </c>
      <c r="F27" s="345">
        <v>95.730038254225789</v>
      </c>
      <c r="G27" s="271">
        <f t="shared" si="0"/>
        <v>0.1149431483109169</v>
      </c>
      <c r="H27" s="263">
        <v>534.78782529363195</v>
      </c>
      <c r="I27" s="345">
        <v>534.03209559767106</v>
      </c>
      <c r="J27" s="355">
        <f t="shared" si="1"/>
        <v>-1.4131393053795627E-3</v>
      </c>
      <c r="K27" s="9"/>
    </row>
    <row r="28" spans="2:19" s="1" customFormat="1">
      <c r="B28" s="8"/>
      <c r="C28" s="261" t="s">
        <v>64</v>
      </c>
      <c r="D28" s="269" t="s">
        <v>77</v>
      </c>
      <c r="E28" s="155">
        <v>42.960161476144151</v>
      </c>
      <c r="F28" s="344">
        <v>25.926237204589416</v>
      </c>
      <c r="G28" s="270">
        <f t="shared" si="0"/>
        <v>-0.39650512675595273</v>
      </c>
      <c r="H28" s="228">
        <v>279.93164282375164</v>
      </c>
      <c r="I28" s="344">
        <v>207.91575933817774</v>
      </c>
      <c r="J28" s="270">
        <f t="shared" si="1"/>
        <v>-0.25726239005754692</v>
      </c>
      <c r="K28" s="9"/>
    </row>
    <row r="29" spans="2:19" s="1" customFormat="1">
      <c r="B29" s="8"/>
      <c r="C29" s="382" t="s">
        <v>76</v>
      </c>
      <c r="D29" s="383"/>
      <c r="E29" s="188">
        <f>SUM(E30:E31)</f>
        <v>188.18314599771708</v>
      </c>
      <c r="F29" s="343">
        <f>SUM(F30:F31)</f>
        <v>172.60651681327431</v>
      </c>
      <c r="G29" s="189">
        <f t="shared" si="0"/>
        <v>-8.2773773931017924E-2</v>
      </c>
      <c r="H29" s="227">
        <f>SUM(H30:H31)</f>
        <v>1237.5825257631805</v>
      </c>
      <c r="I29" s="343">
        <f>SUM(I30:I31)</f>
        <v>1120.2225381119183</v>
      </c>
      <c r="J29" s="189">
        <f t="shared" si="1"/>
        <v>-9.4830029681365891E-2</v>
      </c>
      <c r="K29" s="9"/>
      <c r="Q29" s="144"/>
      <c r="R29" s="144"/>
      <c r="S29" s="144"/>
    </row>
    <row r="30" spans="2:19" s="1" customFormat="1">
      <c r="B30" s="8"/>
      <c r="C30" s="264" t="s">
        <v>68</v>
      </c>
      <c r="D30" s="151"/>
      <c r="E30" s="155">
        <v>42.16584288</v>
      </c>
      <c r="F30" s="344">
        <v>36.493771489179998</v>
      </c>
      <c r="G30" s="270">
        <f t="shared" si="0"/>
        <v>-0.13451815506124665</v>
      </c>
      <c r="H30" s="228">
        <v>266.65020643000003</v>
      </c>
      <c r="I30" s="344">
        <v>230.30606117555925</v>
      </c>
      <c r="J30" s="270">
        <f t="shared" si="1"/>
        <v>-0.13629895787829327</v>
      </c>
      <c r="K30" s="9"/>
    </row>
    <row r="31" spans="2:19" s="1" customFormat="1" ht="13.5" thickBot="1">
      <c r="B31" s="8"/>
      <c r="C31" s="265" t="s">
        <v>64</v>
      </c>
      <c r="D31" s="266"/>
      <c r="E31" s="158">
        <v>146.01730311771706</v>
      </c>
      <c r="F31" s="315">
        <v>136.11274532409431</v>
      </c>
      <c r="G31" s="159">
        <f t="shared" si="0"/>
        <v>-6.7831397938077576E-2</v>
      </c>
      <c r="H31" s="229">
        <v>970.93231933318043</v>
      </c>
      <c r="I31" s="315">
        <v>889.91647693635912</v>
      </c>
      <c r="J31" s="291">
        <f t="shared" si="1"/>
        <v>-8.3441287084213611E-2</v>
      </c>
      <c r="K31" s="9"/>
    </row>
    <row r="32" spans="2:19" s="1" customFormat="1" ht="14.25" thickTop="1" thickBot="1">
      <c r="B32" s="8"/>
      <c r="C32" s="377" t="s">
        <v>106</v>
      </c>
      <c r="D32" s="378"/>
      <c r="E32" s="190">
        <f>SUM(E25,E29)</f>
        <v>4607.6334576088593</v>
      </c>
      <c r="F32" s="346">
        <f>SUM(F25,F29)</f>
        <v>4050.974563217088</v>
      </c>
      <c r="G32" s="191">
        <f t="shared" si="0"/>
        <v>-0.12081232144725562</v>
      </c>
      <c r="H32" s="230">
        <f>SUM(H25,H29)</f>
        <v>28409.310044618054</v>
      </c>
      <c r="I32" s="346">
        <f>SUM(I25,I29)</f>
        <v>25005.876511137772</v>
      </c>
      <c r="J32" s="191">
        <f t="shared" si="1"/>
        <v>-0.11979993629324481</v>
      </c>
      <c r="K32" s="9"/>
    </row>
    <row r="33" spans="2:19" s="1" customFormat="1">
      <c r="B33" s="8"/>
      <c r="C33" s="302" t="s">
        <v>103</v>
      </c>
      <c r="D33" s="160"/>
      <c r="E33" s="160"/>
      <c r="F33" s="161"/>
      <c r="G33" s="129"/>
      <c r="H33" s="160"/>
      <c r="I33" s="160"/>
      <c r="J33" s="129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116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7"/>
      <c r="D38" s="148"/>
      <c r="E38" s="387" t="s">
        <v>126</v>
      </c>
      <c r="F38" s="388"/>
      <c r="G38" s="389" t="s">
        <v>74</v>
      </c>
      <c r="H38" s="391" t="s">
        <v>127</v>
      </c>
      <c r="I38" s="392"/>
      <c r="J38" s="389" t="s">
        <v>74</v>
      </c>
      <c r="K38" s="9"/>
      <c r="Q38" s="144"/>
      <c r="R38" s="144">
        <v>2019</v>
      </c>
      <c r="S38" s="144">
        <v>2020</v>
      </c>
    </row>
    <row r="39" spans="2:19" s="1" customFormat="1" ht="12.75" customHeight="1">
      <c r="B39" s="8"/>
      <c r="C39" s="150" t="s">
        <v>75</v>
      </c>
      <c r="D39" s="151"/>
      <c r="E39" s="152">
        <v>2019</v>
      </c>
      <c r="F39" s="342">
        <v>2020</v>
      </c>
      <c r="G39" s="390"/>
      <c r="H39" s="231">
        <v>2019</v>
      </c>
      <c r="I39" s="347">
        <v>2020</v>
      </c>
      <c r="J39" s="390"/>
      <c r="K39" s="9"/>
      <c r="Q39" s="144" t="s">
        <v>66</v>
      </c>
      <c r="R39" s="145">
        <f>SUM(E41,E46)</f>
        <v>2225.3592908061128</v>
      </c>
      <c r="S39" s="145">
        <f>SUM(F41,F46)</f>
        <v>2250.5683805867366</v>
      </c>
    </row>
    <row r="40" spans="2:19" s="1" customFormat="1">
      <c r="B40" s="8"/>
      <c r="C40" s="382" t="s">
        <v>68</v>
      </c>
      <c r="D40" s="383"/>
      <c r="E40" s="188">
        <f>SUM(E41:E44)</f>
        <v>4418.6559930149997</v>
      </c>
      <c r="F40" s="343">
        <f>SUM(F41:F44)</f>
        <v>3888.935580688405</v>
      </c>
      <c r="G40" s="189">
        <f>((F40/E40)-1)</f>
        <v>-0.11988270034236093</v>
      </c>
      <c r="H40" s="227">
        <f>SUM(H41:H44)</f>
        <v>27158.446082461127</v>
      </c>
      <c r="I40" s="343">
        <f>SUM(I41:I44)</f>
        <v>23908.044274863234</v>
      </c>
      <c r="J40" s="189">
        <f>((I40/H40)-1)</f>
        <v>-0.11968290813578597</v>
      </c>
      <c r="K40" s="9"/>
      <c r="Q40" s="144" t="s">
        <v>65</v>
      </c>
      <c r="R40" s="145">
        <f>SUM(E42,E47)</f>
        <v>2180.772060802748</v>
      </c>
      <c r="S40" s="145">
        <f>SUM(F42,F47)</f>
        <v>1583.3488646503517</v>
      </c>
    </row>
    <row r="41" spans="2:19" s="1" customFormat="1">
      <c r="B41" s="8"/>
      <c r="C41" s="154" t="s">
        <v>66</v>
      </c>
      <c r="D41" s="130"/>
      <c r="E41" s="155">
        <v>2171.6296860149996</v>
      </c>
      <c r="F41" s="344">
        <f>D12</f>
        <v>2201.794646845603</v>
      </c>
      <c r="G41" s="270">
        <f t="shared" ref="G41:G48" si="2">((F41/E41)-1)</f>
        <v>1.389047176176561E-2</v>
      </c>
      <c r="H41" s="228">
        <v>16927.253848063629</v>
      </c>
      <c r="I41" s="344">
        <v>17302.431885409431</v>
      </c>
      <c r="J41" s="270">
        <f t="shared" ref="J41:J48" si="3">((I41/H41)-1)</f>
        <v>2.216414078227591E-2</v>
      </c>
      <c r="K41" s="9"/>
      <c r="Q41" s="144" t="s">
        <v>67</v>
      </c>
      <c r="R41" s="145">
        <f>E43</f>
        <v>148.60942900000001</v>
      </c>
      <c r="S41" s="145">
        <f>F43</f>
        <v>161.98666478249993</v>
      </c>
    </row>
    <row r="42" spans="2:19" s="1" customFormat="1">
      <c r="B42" s="8"/>
      <c r="C42" s="154" t="s">
        <v>65</v>
      </c>
      <c r="D42" s="130"/>
      <c r="E42" s="155">
        <v>2045.5242009999999</v>
      </c>
      <c r="F42" s="344">
        <f>D13</f>
        <v>1470.0836158628017</v>
      </c>
      <c r="G42" s="270">
        <f t="shared" si="2"/>
        <v>-0.28131692837263</v>
      </c>
      <c r="H42" s="228">
        <v>9090.1261923974998</v>
      </c>
      <c r="I42" s="344">
        <v>5453.3376393888029</v>
      </c>
      <c r="J42" s="270">
        <f t="shared" si="3"/>
        <v>-0.40008119535791642</v>
      </c>
      <c r="K42" s="9"/>
      <c r="Q42" s="144" t="s">
        <v>5</v>
      </c>
      <c r="R42" s="145">
        <f>E44</f>
        <v>52.892676999999999</v>
      </c>
      <c r="S42" s="145">
        <f>F44</f>
        <v>55.070653197499986</v>
      </c>
    </row>
    <row r="43" spans="2:19" s="1" customFormat="1">
      <c r="B43" s="8"/>
      <c r="C43" s="154" t="s">
        <v>67</v>
      </c>
      <c r="D43" s="130"/>
      <c r="E43" s="155">
        <v>148.60942900000001</v>
      </c>
      <c r="F43" s="344">
        <f>D14</f>
        <v>161.98666478249993</v>
      </c>
      <c r="G43" s="270">
        <f t="shared" si="2"/>
        <v>9.0016063398641544E-2</v>
      </c>
      <c r="H43" s="228">
        <v>799.5844330000001</v>
      </c>
      <c r="I43" s="344">
        <v>801.60839206749995</v>
      </c>
      <c r="J43" s="356">
        <f t="shared" si="3"/>
        <v>2.5312637214633948E-3</v>
      </c>
      <c r="K43" s="9"/>
    </row>
    <row r="44" spans="2:19" s="1" customFormat="1">
      <c r="B44" s="8"/>
      <c r="C44" s="154" t="s">
        <v>5</v>
      </c>
      <c r="D44" s="130"/>
      <c r="E44" s="155">
        <v>52.892676999999999</v>
      </c>
      <c r="F44" s="344">
        <f>D15</f>
        <v>55.070653197499986</v>
      </c>
      <c r="G44" s="93">
        <f t="shared" si="2"/>
        <v>4.1177272942717336E-2</v>
      </c>
      <c r="H44" s="228">
        <v>341.48160900000005</v>
      </c>
      <c r="I44" s="344">
        <v>350.66635799750003</v>
      </c>
      <c r="J44" s="156">
        <f t="shared" si="3"/>
        <v>2.6896760339149006E-2</v>
      </c>
      <c r="K44" s="9"/>
      <c r="Q44" s="144"/>
      <c r="R44" s="144"/>
      <c r="S44" s="144"/>
    </row>
    <row r="45" spans="2:19" s="1" customFormat="1">
      <c r="B45" s="8"/>
      <c r="C45" s="382" t="s">
        <v>64</v>
      </c>
      <c r="D45" s="383"/>
      <c r="E45" s="188">
        <f>SUM(E46:E47)</f>
        <v>188.97746459386127</v>
      </c>
      <c r="F45" s="343">
        <f>SUM(F46:F47)</f>
        <v>162.03898252868373</v>
      </c>
      <c r="G45" s="189">
        <f t="shared" si="2"/>
        <v>-0.14254864791985677</v>
      </c>
      <c r="H45" s="227">
        <f>SUM(H46:H47)</f>
        <v>1250.8639621569323</v>
      </c>
      <c r="I45" s="343">
        <f>SUM(I46:I47)</f>
        <v>1097.8322362745369</v>
      </c>
      <c r="J45" s="189">
        <f t="shared" si="3"/>
        <v>-0.12234082243325206</v>
      </c>
      <c r="K45" s="9"/>
    </row>
    <row r="46" spans="2:19" s="1" customFormat="1">
      <c r="B46" s="8"/>
      <c r="C46" s="154" t="s">
        <v>66</v>
      </c>
      <c r="D46" s="130"/>
      <c r="E46" s="155">
        <v>53.729604791113118</v>
      </c>
      <c r="F46" s="344">
        <f>E12</f>
        <v>48.773733741133803</v>
      </c>
      <c r="G46" s="156">
        <f t="shared" si="2"/>
        <v>-9.223725112526826E-2</v>
      </c>
      <c r="H46" s="228">
        <v>380.60695619894551</v>
      </c>
      <c r="I46" s="344">
        <v>334.22213904957096</v>
      </c>
      <c r="J46" s="156">
        <f t="shared" si="3"/>
        <v>-0.12187065000758668</v>
      </c>
      <c r="K46" s="9"/>
    </row>
    <row r="47" spans="2:19" s="1" customFormat="1" ht="13.5" thickBot="1">
      <c r="B47" s="8"/>
      <c r="C47" s="157" t="s">
        <v>65</v>
      </c>
      <c r="D47" s="130"/>
      <c r="E47" s="158">
        <v>135.24785980274814</v>
      </c>
      <c r="F47" s="315">
        <f>E13</f>
        <v>113.26524878754994</v>
      </c>
      <c r="G47" s="291">
        <f t="shared" si="2"/>
        <v>-0.1625357402864539</v>
      </c>
      <c r="H47" s="229">
        <v>870.25700595798673</v>
      </c>
      <c r="I47" s="315">
        <v>763.6100972249659</v>
      </c>
      <c r="J47" s="159">
        <f t="shared" si="3"/>
        <v>-0.12254645237313888</v>
      </c>
      <c r="K47" s="9"/>
    </row>
    <row r="48" spans="2:19" s="1" customFormat="1" ht="14.25" thickTop="1" thickBot="1">
      <c r="B48" s="8"/>
      <c r="C48" s="377" t="s">
        <v>106</v>
      </c>
      <c r="D48" s="378"/>
      <c r="E48" s="190">
        <f>SUM(E40,E45)</f>
        <v>4607.6334576088611</v>
      </c>
      <c r="F48" s="346">
        <f>SUM(F40,F45)</f>
        <v>4050.9745632170889</v>
      </c>
      <c r="G48" s="191">
        <f t="shared" si="2"/>
        <v>-0.12081232144725573</v>
      </c>
      <c r="H48" s="230">
        <f>SUM(H40,H45)</f>
        <v>28409.310044618058</v>
      </c>
      <c r="I48" s="346">
        <f>SUM(I40,I45)</f>
        <v>25005.876511137772</v>
      </c>
      <c r="J48" s="191">
        <f t="shared" si="3"/>
        <v>-0.11979993629324492</v>
      </c>
      <c r="K48" s="9"/>
    </row>
    <row r="49" spans="2:23" s="1" customFormat="1">
      <c r="B49" s="8"/>
      <c r="C49" s="257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121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2"/>
    </row>
    <row r="53" spans="2:23" s="1" customFormat="1" ht="13.5" thickBot="1">
      <c r="B53" s="8"/>
      <c r="C53" s="10"/>
      <c r="H53" s="9"/>
      <c r="I53" s="9"/>
      <c r="J53" s="9"/>
      <c r="K53" s="9"/>
      <c r="L53" s="252"/>
      <c r="M53" s="252"/>
    </row>
    <row r="54" spans="2:23" s="1" customFormat="1" ht="12.75" customHeight="1">
      <c r="B54" s="8"/>
      <c r="C54" s="147"/>
      <c r="D54" s="148"/>
      <c r="E54" s="387" t="s">
        <v>126</v>
      </c>
      <c r="F54" s="388"/>
      <c r="G54" s="389" t="s">
        <v>74</v>
      </c>
      <c r="H54" s="391" t="s">
        <v>127</v>
      </c>
      <c r="I54" s="392"/>
      <c r="J54" s="389" t="s">
        <v>74</v>
      </c>
      <c r="K54" s="9"/>
      <c r="L54" s="252"/>
      <c r="M54" s="252"/>
    </row>
    <row r="55" spans="2:23" s="1" customFormat="1" ht="12.75" customHeight="1">
      <c r="B55" s="8"/>
      <c r="C55" s="150" t="s">
        <v>75</v>
      </c>
      <c r="D55" s="151"/>
      <c r="E55" s="152">
        <v>2019</v>
      </c>
      <c r="F55" s="342">
        <v>2020</v>
      </c>
      <c r="G55" s="390"/>
      <c r="H55" s="231">
        <v>2019</v>
      </c>
      <c r="I55" s="347">
        <v>2020</v>
      </c>
      <c r="J55" s="390"/>
      <c r="K55" s="9"/>
      <c r="L55" s="252"/>
      <c r="M55" s="252"/>
    </row>
    <row r="56" spans="2:23" s="1" customFormat="1">
      <c r="B56" s="8"/>
      <c r="C56" s="382" t="s">
        <v>68</v>
      </c>
      <c r="D56" s="383"/>
      <c r="E56" s="188">
        <f>SUM(E57:E60)</f>
        <v>4418.6559930149997</v>
      </c>
      <c r="F56" s="343">
        <f>SUM(F57:F60)</f>
        <v>3888.9355806884046</v>
      </c>
      <c r="G56" s="189">
        <f>((F56/E56)-1)</f>
        <v>-0.11988270034236104</v>
      </c>
      <c r="H56" s="227">
        <f>SUM(H57:H60)</f>
        <v>27158.446082461131</v>
      </c>
      <c r="I56" s="343">
        <f>SUM(I57:I60)</f>
        <v>23908.044274863234</v>
      </c>
      <c r="J56" s="189">
        <f>((I56/H56)-1)</f>
        <v>-0.11968290813578619</v>
      </c>
      <c r="K56" s="9"/>
    </row>
    <row r="57" spans="2:23" s="1" customFormat="1" ht="25.5">
      <c r="B57" s="8"/>
      <c r="C57" s="380" t="s">
        <v>78</v>
      </c>
      <c r="D57" s="272" t="s">
        <v>79</v>
      </c>
      <c r="E57" s="360">
        <f>SUM(E43:E44)+29.438376</f>
        <v>230.940482</v>
      </c>
      <c r="F57" s="361">
        <f>SUM(F43:F44)+21.865095595</f>
        <v>238.92241357499989</v>
      </c>
      <c r="G57" s="166">
        <f t="shared" ref="G57:G65" si="4">((F57/E57)-1)</f>
        <v>3.4562721554378228E-2</v>
      </c>
      <c r="H57" s="362">
        <f>SUM(H43:H44)+146.846023</f>
        <v>1287.9120650000002</v>
      </c>
      <c r="I57" s="361">
        <f>SUM(I43:I44)+127.4033002175</f>
        <v>1279.6780502825</v>
      </c>
      <c r="J57" s="166">
        <f t="shared" ref="J57:J65" si="5">((I57/H57)-1)</f>
        <v>-6.393305056506482E-3</v>
      </c>
      <c r="K57" s="9"/>
      <c r="L57" s="252"/>
      <c r="Q57" s="144"/>
      <c r="R57" s="144"/>
      <c r="T57" s="144">
        <v>2019</v>
      </c>
      <c r="U57" s="144">
        <v>2020</v>
      </c>
      <c r="V57" s="144"/>
      <c r="W57" s="144"/>
    </row>
    <row r="58" spans="2:23" s="1" customFormat="1" ht="13.5">
      <c r="B58" s="8"/>
      <c r="C58" s="381"/>
      <c r="D58" s="273" t="s">
        <v>108</v>
      </c>
      <c r="E58" s="262">
        <v>137.08940598749999</v>
      </c>
      <c r="F58" s="345">
        <v>143.43081614249999</v>
      </c>
      <c r="G58" s="271">
        <f t="shared" si="4"/>
        <v>4.6257477806696645E-2</v>
      </c>
      <c r="H58" s="263">
        <v>958.31141548749997</v>
      </c>
      <c r="I58" s="345">
        <v>1270.3747325024999</v>
      </c>
      <c r="J58" s="271">
        <f t="shared" si="5"/>
        <v>0.32563873493696316</v>
      </c>
      <c r="K58" s="9"/>
      <c r="L58" s="252"/>
      <c r="M58" s="252"/>
      <c r="Q58" s="386" t="s">
        <v>80</v>
      </c>
      <c r="R58" s="144" t="s">
        <v>66</v>
      </c>
      <c r="T58" s="145">
        <f>SUM(E60,E64)</f>
        <v>2088.2698848186128</v>
      </c>
      <c r="U58" s="145">
        <f>SUM(F60,F64)</f>
        <v>2107.1375644442364</v>
      </c>
      <c r="V58" s="146">
        <f t="shared" ref="V58:W61" si="6">T58/T$64</f>
        <v>0.45321962001342103</v>
      </c>
      <c r="W58" s="146">
        <f t="shared" si="6"/>
        <v>0.52015571353547319</v>
      </c>
    </row>
    <row r="59" spans="2:23" s="1" customFormat="1">
      <c r="B59" s="8"/>
      <c r="C59" s="379" t="s">
        <v>80</v>
      </c>
      <c r="D59" s="274" t="s">
        <v>81</v>
      </c>
      <c r="E59" s="155">
        <f>SUM(E42:E44)-E57</f>
        <v>2016.0858249999997</v>
      </c>
      <c r="F59" s="344">
        <f>SUM(F42:F44)-F57</f>
        <v>1448.2185202678018</v>
      </c>
      <c r="G59" s="270">
        <f t="shared" si="4"/>
        <v>-0.28166821952244914</v>
      </c>
      <c r="H59" s="228">
        <f>SUM(H42:H44)-H57</f>
        <v>8943.2801693974998</v>
      </c>
      <c r="I59" s="344">
        <f>SUM(I42:I44)-I57</f>
        <v>5325.9343391713028</v>
      </c>
      <c r="J59" s="270">
        <f t="shared" si="5"/>
        <v>-0.40447640705746712</v>
      </c>
      <c r="K59" s="9"/>
      <c r="Q59" s="386"/>
      <c r="R59" s="144" t="s">
        <v>65</v>
      </c>
      <c r="T59" s="145">
        <f>SUM(E59,E63)</f>
        <v>2141.4858555927476</v>
      </c>
      <c r="U59" s="145">
        <f>SUM(F59,F63)</f>
        <v>1544.4939817372192</v>
      </c>
      <c r="V59" s="146">
        <f t="shared" si="6"/>
        <v>0.46476914348652976</v>
      </c>
      <c r="W59" s="146">
        <f t="shared" si="6"/>
        <v>0.38126479385016349</v>
      </c>
    </row>
    <row r="60" spans="2:23" s="1" customFormat="1">
      <c r="B60" s="8"/>
      <c r="C60" s="379"/>
      <c r="D60" s="275" t="s">
        <v>41</v>
      </c>
      <c r="E60" s="155">
        <f>E41-E58</f>
        <v>2034.5402800274996</v>
      </c>
      <c r="F60" s="344">
        <f>F41-F58</f>
        <v>2058.3638307031028</v>
      </c>
      <c r="G60" s="156">
        <f t="shared" si="4"/>
        <v>1.1709549773711636E-2</v>
      </c>
      <c r="H60" s="228">
        <f>H41-H58</f>
        <v>15968.942432576128</v>
      </c>
      <c r="I60" s="344">
        <f>I41-I58</f>
        <v>16032.057152906931</v>
      </c>
      <c r="J60" s="356">
        <f t="shared" si="5"/>
        <v>3.9523419034970253E-3</v>
      </c>
      <c r="K60" s="9"/>
      <c r="Q60" s="386" t="s">
        <v>78</v>
      </c>
      <c r="R60" s="144" t="s">
        <v>66</v>
      </c>
      <c r="T60" s="145">
        <f>E58</f>
        <v>137.08940598749999</v>
      </c>
      <c r="U60" s="145">
        <f>F58</f>
        <v>143.43081614249999</v>
      </c>
      <c r="V60" s="146">
        <f t="shared" si="6"/>
        <v>2.9752671788836862E-2</v>
      </c>
      <c r="W60" s="146">
        <f t="shared" si="6"/>
        <v>3.5406496363826631E-2</v>
      </c>
    </row>
    <row r="61" spans="2:23" s="1" customFormat="1">
      <c r="B61" s="8"/>
      <c r="C61" s="382" t="s">
        <v>64</v>
      </c>
      <c r="D61" s="383"/>
      <c r="E61" s="188">
        <f>SUM(E62:E64)</f>
        <v>188.97746459386127</v>
      </c>
      <c r="F61" s="343">
        <f>SUM(F62:F64)</f>
        <v>162.03898252868373</v>
      </c>
      <c r="G61" s="189">
        <f t="shared" si="4"/>
        <v>-0.14254864791985677</v>
      </c>
      <c r="H61" s="227">
        <f>SUM(H62:H64)</f>
        <v>1250.8639621569323</v>
      </c>
      <c r="I61" s="343">
        <f>SUM(I62:I64)</f>
        <v>1097.8322362745366</v>
      </c>
      <c r="J61" s="189">
        <f t="shared" si="5"/>
        <v>-0.12234082243325228</v>
      </c>
      <c r="K61" s="9"/>
      <c r="Q61" s="386"/>
      <c r="R61" s="144" t="s">
        <v>89</v>
      </c>
      <c r="T61" s="145">
        <f>E57+E62</f>
        <v>240.78831121000002</v>
      </c>
      <c r="U61" s="145">
        <f>F57+F62</f>
        <v>255.91220089313239</v>
      </c>
      <c r="V61" s="146">
        <f t="shared" si="6"/>
        <v>5.2258564711212416E-2</v>
      </c>
      <c r="W61" s="146">
        <f t="shared" si="6"/>
        <v>6.3172996250536642E-2</v>
      </c>
    </row>
    <row r="62" spans="2:23" s="1" customFormat="1">
      <c r="B62" s="8"/>
      <c r="C62" s="303" t="s">
        <v>78</v>
      </c>
      <c r="D62" s="304" t="s">
        <v>112</v>
      </c>
      <c r="E62" s="363">
        <v>9.8478292100000111</v>
      </c>
      <c r="F62" s="364">
        <v>16.989787318132489</v>
      </c>
      <c r="G62" s="305">
        <f t="shared" si="4"/>
        <v>0.72523171917727347</v>
      </c>
      <c r="H62" s="365">
        <v>95.864075909999997</v>
      </c>
      <c r="I62" s="366">
        <v>97.143527756532478</v>
      </c>
      <c r="J62" s="305">
        <f t="shared" si="5"/>
        <v>1.3346520418489938E-2</v>
      </c>
      <c r="K62" s="9"/>
      <c r="Q62" s="144"/>
      <c r="R62" s="144"/>
      <c r="T62" s="144"/>
      <c r="U62" s="144"/>
      <c r="V62" s="144"/>
      <c r="W62" s="144"/>
    </row>
    <row r="63" spans="2:23" s="1" customFormat="1">
      <c r="B63" s="8"/>
      <c r="C63" s="384" t="s">
        <v>80</v>
      </c>
      <c r="D63" s="274" t="s">
        <v>81</v>
      </c>
      <c r="E63" s="155">
        <f>E47-E62</f>
        <v>125.40003059274812</v>
      </c>
      <c r="F63" s="344">
        <f>F47-F62</f>
        <v>96.275461469417451</v>
      </c>
      <c r="G63" s="270">
        <f t="shared" ref="G63" si="7">((F63/E63)-1)</f>
        <v>-0.23225328563049763</v>
      </c>
      <c r="H63" s="228">
        <f>H47-H62</f>
        <v>774.39293004798674</v>
      </c>
      <c r="I63" s="344">
        <f>I47-I62</f>
        <v>666.46656946843336</v>
      </c>
      <c r="J63" s="270">
        <f t="shared" ref="J63" si="8">((I63/H63)-1)</f>
        <v>-0.13936899007183023</v>
      </c>
      <c r="K63" s="9"/>
      <c r="Q63" s="144"/>
      <c r="R63" s="144"/>
      <c r="T63" s="144"/>
      <c r="U63" s="144"/>
      <c r="V63" s="144"/>
      <c r="W63" s="144"/>
    </row>
    <row r="64" spans="2:23" s="1" customFormat="1" ht="13.5" thickBot="1">
      <c r="B64" s="8"/>
      <c r="C64" s="385"/>
      <c r="D64" s="276" t="s">
        <v>41</v>
      </c>
      <c r="E64" s="158">
        <f>E46</f>
        <v>53.729604791113118</v>
      </c>
      <c r="F64" s="315">
        <f>F46</f>
        <v>48.773733741133803</v>
      </c>
      <c r="G64" s="159">
        <f t="shared" si="4"/>
        <v>-9.223725112526826E-2</v>
      </c>
      <c r="H64" s="229">
        <f>H46</f>
        <v>380.60695619894551</v>
      </c>
      <c r="I64" s="315">
        <f>I46</f>
        <v>334.22213904957096</v>
      </c>
      <c r="J64" s="159">
        <f t="shared" si="5"/>
        <v>-0.12187065000758668</v>
      </c>
      <c r="K64" s="9"/>
      <c r="Q64" s="144"/>
      <c r="R64" s="144"/>
      <c r="T64" s="145">
        <f>SUM(T58:T61)</f>
        <v>4607.6334576088602</v>
      </c>
      <c r="U64" s="145">
        <f>SUM(U58:U61)</f>
        <v>4050.974563217088</v>
      </c>
      <c r="V64" s="144"/>
      <c r="W64" s="144"/>
    </row>
    <row r="65" spans="2:22" s="1" customFormat="1" ht="14.25" thickTop="1" thickBot="1">
      <c r="B65" s="8"/>
      <c r="C65" s="377" t="s">
        <v>106</v>
      </c>
      <c r="D65" s="378"/>
      <c r="E65" s="190">
        <f>SUM(E56,E61)</f>
        <v>4607.6334576088611</v>
      </c>
      <c r="F65" s="346">
        <f>SUM(F56,F61)</f>
        <v>4050.9745632170884</v>
      </c>
      <c r="G65" s="191">
        <f t="shared" si="4"/>
        <v>-0.12081232144725584</v>
      </c>
      <c r="H65" s="230">
        <f>SUM(H56,H61)</f>
        <v>28409.310044618062</v>
      </c>
      <c r="I65" s="346">
        <f>SUM(I56,I61)</f>
        <v>25005.876511137772</v>
      </c>
      <c r="J65" s="191">
        <f t="shared" si="5"/>
        <v>-0.11979993629324504</v>
      </c>
      <c r="K65" s="9"/>
      <c r="Q65" s="144"/>
      <c r="R65" s="144"/>
      <c r="S65" s="144"/>
      <c r="T65" s="144"/>
      <c r="U65" s="144"/>
      <c r="V65" s="144"/>
    </row>
    <row r="66" spans="2:22" s="1" customFormat="1">
      <c r="B66" s="8"/>
      <c r="C66" s="257" t="s">
        <v>109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10" zoomScaleNormal="100" zoomScaleSheetLayoutView="100" workbookViewId="0">
      <selection activeCell="F28" sqref="F28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122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2250.5683805867366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1306.2628133365399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238.00463790310414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38.854882913132485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161.98666478249993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55.070653197499986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77">
        <f t="shared" si="0"/>
        <v>0.22653049757509988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4050.9745632170875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09"/>
      <c r="G23" s="256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117</v>
      </c>
      <c r="D24" s="9"/>
      <c r="E24" s="13"/>
      <c r="F24" s="13"/>
      <c r="G24" s="13"/>
      <c r="H24" s="26"/>
      <c r="I24" s="26"/>
      <c r="J24" s="292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9"/>
      <c r="D25" s="129"/>
      <c r="E25" s="162"/>
      <c r="F25" s="162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3" t="s">
        <v>61</v>
      </c>
      <c r="D26" s="401" t="s">
        <v>126</v>
      </c>
      <c r="E26" s="401"/>
      <c r="F26" s="397" t="s">
        <v>74</v>
      </c>
      <c r="G26" s="395" t="s">
        <v>127</v>
      </c>
      <c r="H26" s="396"/>
      <c r="I26" s="397" t="s">
        <v>74</v>
      </c>
      <c r="J26" s="20"/>
      <c r="K26" s="54"/>
      <c r="L26" s="54"/>
      <c r="M26" s="55"/>
      <c r="N26" s="70">
        <v>2019</v>
      </c>
      <c r="O26" s="70">
        <v>2020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4"/>
      <c r="D27" s="95">
        <v>2019</v>
      </c>
      <c r="E27" s="96">
        <v>2020</v>
      </c>
      <c r="F27" s="398"/>
      <c r="G27" s="232">
        <v>2019</v>
      </c>
      <c r="H27" s="96">
        <v>2020</v>
      </c>
      <c r="I27" s="398"/>
      <c r="J27" s="20"/>
      <c r="K27" s="54"/>
      <c r="L27" s="54"/>
      <c r="M27" s="55" t="s">
        <v>85</v>
      </c>
      <c r="N27" s="70">
        <f t="shared" ref="N27:O29" si="1">D28</f>
        <v>2225.3592908061128</v>
      </c>
      <c r="O27" s="70">
        <f t="shared" si="1"/>
        <v>2250.5683805867366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3" t="s">
        <v>85</v>
      </c>
      <c r="D28" s="164">
        <f>'Resumen (G)'!E41+'Resumen (G)'!E46</f>
        <v>2225.3592908061128</v>
      </c>
      <c r="E28" s="165">
        <f>'Resumen (G)'!F41+'Resumen (G)'!F46</f>
        <v>2250.5683805867366</v>
      </c>
      <c r="F28" s="166">
        <f>+E28/D28-1</f>
        <v>1.1328098741076653E-2</v>
      </c>
      <c r="G28" s="246">
        <f>'Resumen (G)'!H41+'Resumen (G)'!H46</f>
        <v>17307.860804262575</v>
      </c>
      <c r="H28" s="165">
        <f>'Resumen (G)'!I41+'Resumen (G)'!I46</f>
        <v>17636.654024459003</v>
      </c>
      <c r="I28" s="166">
        <f>+H28/G28-1</f>
        <v>1.8996756671133763E-2</v>
      </c>
      <c r="J28" s="292"/>
      <c r="K28" s="54"/>
      <c r="L28" s="54"/>
      <c r="M28" s="55" t="s">
        <v>2</v>
      </c>
      <c r="N28" s="70">
        <f t="shared" si="1"/>
        <v>1977.9327549999998</v>
      </c>
      <c r="O28" s="70">
        <f t="shared" si="1"/>
        <v>1306.2628133365399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7" t="s">
        <v>2</v>
      </c>
      <c r="D29" s="168">
        <v>1977.9327549999998</v>
      </c>
      <c r="E29" s="169">
        <v>1306.2628133365399</v>
      </c>
      <c r="F29" s="170">
        <f t="shared" ref="F29:F35" si="2">+E29/D29-1</f>
        <v>-0.33958178808938322</v>
      </c>
      <c r="G29" s="247">
        <v>8873.2668027974996</v>
      </c>
      <c r="H29" s="169">
        <v>5302.9189639195411</v>
      </c>
      <c r="I29" s="170">
        <f t="shared" ref="I29:I35" si="3">+H29/G29-1</f>
        <v>-0.40237129325947074</v>
      </c>
      <c r="J29" s="254"/>
      <c r="K29" s="255"/>
      <c r="L29" s="54"/>
      <c r="M29" s="55" t="s">
        <v>84</v>
      </c>
      <c r="N29" s="70">
        <f t="shared" si="1"/>
        <v>163.19210059274701</v>
      </c>
      <c r="O29" s="70">
        <f t="shared" si="1"/>
        <v>238.00463790310414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7" t="s">
        <v>3</v>
      </c>
      <c r="D30" s="168">
        <f>'Resumen (G)'!E32-SUM('TipoRecurso (G)'!D28:D29,'TipoRecurso (G)'!D31:D34)</f>
        <v>163.19210059274701</v>
      </c>
      <c r="E30" s="169">
        <f>'Resumen (G)'!F32-SUM('TipoRecurso (G)'!E28:E29,'TipoRecurso (G)'!E31:E34)</f>
        <v>238.00463790310414</v>
      </c>
      <c r="F30" s="170">
        <f t="shared" si="2"/>
        <v>0.45843234469452088</v>
      </c>
      <c r="G30" s="247">
        <f>'Resumen (G)'!H32-SUM('TipoRecurso (G)'!G28:G29,'TipoRecurso (G)'!G31:G34)</f>
        <v>842.1273949479837</v>
      </c>
      <c r="H30" s="169">
        <f>'Resumen (G)'!I32-SUM('TipoRecurso (G)'!H28:H29,'TipoRecurso (G)'!H31:H34)</f>
        <v>688.02741422261897</v>
      </c>
      <c r="I30" s="170">
        <f t="shared" si="3"/>
        <v>-0.18298891788799143</v>
      </c>
      <c r="J30" s="292"/>
      <c r="K30" s="54"/>
      <c r="L30" s="54"/>
      <c r="M30" s="55" t="s">
        <v>4</v>
      </c>
      <c r="N30" s="99">
        <f>D34</f>
        <v>0.36099999999999999</v>
      </c>
      <c r="O30" s="99">
        <f>E34</f>
        <v>0.22653049757509988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7" t="s">
        <v>6</v>
      </c>
      <c r="D31" s="168">
        <f>'Resumen (G)'!E57+'Resumen (G)'!E62-SUM('TipoRecurso (G)'!D32:D33)</f>
        <v>39.28620521000002</v>
      </c>
      <c r="E31" s="169">
        <f>'Resumen (G)'!F57+'Resumen (G)'!F62-SUM('TipoRecurso (G)'!E32:E33)</f>
        <v>38.854882913132485</v>
      </c>
      <c r="F31" s="170">
        <f t="shared" si="2"/>
        <v>-1.0978975815097214E-2</v>
      </c>
      <c r="G31" s="247">
        <f>'Resumen (G)'!H57+'Resumen (G)'!H62-SUM('TipoRecurso (G)'!G32:G33)</f>
        <v>242.71009891000017</v>
      </c>
      <c r="H31" s="169">
        <f>'Resumen (G)'!I57+'Resumen (G)'!I62-SUM('TipoRecurso (G)'!H32:H33)</f>
        <v>224.54682797403234</v>
      </c>
      <c r="I31" s="170">
        <f t="shared" si="3"/>
        <v>-7.4835250026835443E-2</v>
      </c>
      <c r="J31" s="20"/>
      <c r="K31" s="54"/>
      <c r="L31" s="54"/>
      <c r="M31" s="55" t="s">
        <v>90</v>
      </c>
      <c r="N31" s="70">
        <f t="shared" ref="N31:O33" si="4">D31</f>
        <v>39.28620521000002</v>
      </c>
      <c r="O31" s="70">
        <f t="shared" si="4"/>
        <v>38.854882913132485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7" t="s">
        <v>14</v>
      </c>
      <c r="D32" s="168">
        <f>'Resumen (G)'!E43</f>
        <v>148.60942900000001</v>
      </c>
      <c r="E32" s="169">
        <f>'Resumen (G)'!F43</f>
        <v>161.98666478249993</v>
      </c>
      <c r="F32" s="170">
        <f t="shared" si="2"/>
        <v>9.0016063398641544E-2</v>
      </c>
      <c r="G32" s="247">
        <f>'Resumen (G)'!H43</f>
        <v>799.5844330000001</v>
      </c>
      <c r="H32" s="169">
        <f>'Resumen (G)'!I43</f>
        <v>801.60839206749995</v>
      </c>
      <c r="I32" s="357">
        <f t="shared" si="3"/>
        <v>2.5312637214633948E-3</v>
      </c>
      <c r="J32" s="20"/>
      <c r="K32" s="54"/>
      <c r="L32" s="54"/>
      <c r="M32" s="55" t="s">
        <v>14</v>
      </c>
      <c r="N32" s="70">
        <f t="shared" si="4"/>
        <v>148.60942900000001</v>
      </c>
      <c r="O32" s="70">
        <f t="shared" si="4"/>
        <v>161.98666478249993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7" t="s">
        <v>5</v>
      </c>
      <c r="D33" s="168">
        <f>'Resumen (G)'!E44</f>
        <v>52.892676999999999</v>
      </c>
      <c r="E33" s="169">
        <f>'Resumen (G)'!F44</f>
        <v>55.070653197499986</v>
      </c>
      <c r="F33" s="170">
        <f t="shared" si="2"/>
        <v>4.1177272942717336E-2</v>
      </c>
      <c r="G33" s="247">
        <f>'Resumen (G)'!H44</f>
        <v>341.48160900000005</v>
      </c>
      <c r="H33" s="169">
        <f>'Resumen (G)'!I44</f>
        <v>350.66635799750003</v>
      </c>
      <c r="I33" s="170">
        <f t="shared" si="3"/>
        <v>2.6896760339149006E-2</v>
      </c>
      <c r="J33" s="20"/>
      <c r="K33" s="54"/>
      <c r="L33" s="54"/>
      <c r="M33" s="55" t="s">
        <v>5</v>
      </c>
      <c r="N33" s="70">
        <f t="shared" si="4"/>
        <v>52.892676999999999</v>
      </c>
      <c r="O33" s="70">
        <f t="shared" si="4"/>
        <v>55.070653197499986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1" t="s">
        <v>4</v>
      </c>
      <c r="D34" s="172">
        <v>0.36099999999999999</v>
      </c>
      <c r="E34" s="173">
        <v>0.22653049757509988</v>
      </c>
      <c r="F34" s="174">
        <f t="shared" si="2"/>
        <v>-0.37249169646786739</v>
      </c>
      <c r="G34" s="248">
        <v>2.2789017</v>
      </c>
      <c r="H34" s="173">
        <v>1.4545304975750999</v>
      </c>
      <c r="I34" s="174">
        <f t="shared" si="3"/>
        <v>-0.36174057109391777</v>
      </c>
      <c r="J34" s="20"/>
      <c r="K34" s="54"/>
      <c r="L34" s="54"/>
      <c r="M34" s="97"/>
      <c r="N34" s="98">
        <f>SUM(N27:N33)</f>
        <v>4607.6334576088593</v>
      </c>
      <c r="O34" s="98">
        <f>SUM(O27:O33)</f>
        <v>4050.974563217088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5" t="s">
        <v>106</v>
      </c>
      <c r="D35" s="296">
        <f>SUM(D28:D34)</f>
        <v>4607.6334576088593</v>
      </c>
      <c r="E35" s="297">
        <f>SUM(E28:E34)</f>
        <v>4050.9745632170875</v>
      </c>
      <c r="F35" s="298">
        <f t="shared" si="2"/>
        <v>-0.12081232144725573</v>
      </c>
      <c r="G35" s="299">
        <f>SUM(G28:G34)</f>
        <v>28409.310044618054</v>
      </c>
      <c r="H35" s="297">
        <f>SUM(H28:H34)</f>
        <v>25005.876511137772</v>
      </c>
      <c r="I35" s="300">
        <f t="shared" si="3"/>
        <v>-0.11979993629324481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5"/>
      <c r="D36" s="175"/>
      <c r="E36" s="176"/>
      <c r="F36" s="177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1"/>
      <c r="N39" s="221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1">
        <f t="shared" ref="M40:N46" si="5">N27/N$34</f>
        <v>0.48297229180225798</v>
      </c>
      <c r="N40" s="221">
        <f t="shared" si="5"/>
        <v>0.55556220989929994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1">
        <f t="shared" si="5"/>
        <v>0.42927302555582447</v>
      </c>
      <c r="N41" s="221">
        <f t="shared" si="5"/>
        <v>0.32245643435962956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1">
        <f t="shared" si="5"/>
        <v>3.5417769684621549E-2</v>
      </c>
      <c r="N42" s="221">
        <f t="shared" si="5"/>
        <v>5.8752439490533943E-2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1">
        <f t="shared" si="5"/>
        <v>7.8348246083650422E-5</v>
      </c>
      <c r="N43" s="221">
        <f t="shared" si="5"/>
        <v>5.5920000000000081E-5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1">
        <f t="shared" si="5"/>
        <v>8.5263303974677865E-3</v>
      </c>
      <c r="N44" s="221">
        <f t="shared" si="5"/>
        <v>9.5914902221148034E-3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1">
        <f t="shared" si="5"/>
        <v>3.2252875661060325E-2</v>
      </c>
      <c r="N45" s="221">
        <f t="shared" si="5"/>
        <v>3.998708514571811E-2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1">
        <f t="shared" si="5"/>
        <v>1.1479358652684313E-2</v>
      </c>
      <c r="N46" s="221">
        <f t="shared" si="5"/>
        <v>1.3594420882703726E-2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1">
        <f>N34/N$34</f>
        <v>1</v>
      </c>
      <c r="N47" s="221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2">
        <f>SUM(M39:M46)</f>
        <v>1</v>
      </c>
      <c r="N49" s="222">
        <f>SUM(N39:N46)</f>
        <v>1.0000000000000002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118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99" t="s">
        <v>91</v>
      </c>
      <c r="D53" s="401" t="s">
        <v>126</v>
      </c>
      <c r="E53" s="401"/>
      <c r="F53" s="397" t="s">
        <v>74</v>
      </c>
      <c r="G53" s="395" t="s">
        <v>127</v>
      </c>
      <c r="H53" s="396"/>
      <c r="I53" s="397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400"/>
      <c r="D54" s="95">
        <v>2019</v>
      </c>
      <c r="E54" s="96">
        <v>2020</v>
      </c>
      <c r="F54" s="398"/>
      <c r="G54" s="232">
        <v>2019</v>
      </c>
      <c r="H54" s="96">
        <v>2020</v>
      </c>
      <c r="I54" s="398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2" t="s">
        <v>42</v>
      </c>
      <c r="D55" s="283">
        <f>SUM(D28:D30,D34)</f>
        <v>4366.8451463988595</v>
      </c>
      <c r="E55" s="284">
        <f>SUM(E28:E30,E34)</f>
        <v>3795.0623623239553</v>
      </c>
      <c r="F55" s="166">
        <f>+E55/D55-1</f>
        <v>-0.13093727047922177</v>
      </c>
      <c r="G55" s="285">
        <f>SUM(G28:G30,G34)</f>
        <v>27025.533903708056</v>
      </c>
      <c r="H55" s="284">
        <f>SUM(H28:H30,H34)</f>
        <v>23629.054933098741</v>
      </c>
      <c r="I55" s="166">
        <f>+H55/G55-1</f>
        <v>-0.12567666499063312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86" t="s">
        <v>123</v>
      </c>
      <c r="D56" s="287">
        <f>SUM(D31:D33)</f>
        <v>240.78831121000002</v>
      </c>
      <c r="E56" s="288">
        <f>SUM(E31:E33)</f>
        <v>255.91220089313239</v>
      </c>
      <c r="F56" s="367">
        <f>+E56/D56-1</f>
        <v>6.2809899729485918E-2</v>
      </c>
      <c r="G56" s="289">
        <f>SUM(G31:G33)</f>
        <v>1383.7761409100003</v>
      </c>
      <c r="H56" s="288">
        <f>SUM(H31:H33)</f>
        <v>1376.8215780390321</v>
      </c>
      <c r="I56" s="368">
        <f>+H56/G56-1</f>
        <v>-5.0257860829965306E-3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4607.6334576088593</v>
      </c>
      <c r="E57" s="101">
        <f>SUM(E55:E56)</f>
        <v>4050.9745632170875</v>
      </c>
      <c r="F57" s="102">
        <f>+E57/D57-1</f>
        <v>-0.12081232144725573</v>
      </c>
      <c r="G57" s="249">
        <f>SUM(G55:G56)</f>
        <v>28409.310044618054</v>
      </c>
      <c r="H57" s="101">
        <f>SUM(H55:H56)</f>
        <v>25005.876511137772</v>
      </c>
      <c r="I57" s="102">
        <f>+H57/G57-1</f>
        <v>-0.11979993629324481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3">
        <f>+D56/D57</f>
        <v>5.2258564711212423E-2</v>
      </c>
      <c r="E58" s="104">
        <f>+E56/E57</f>
        <v>6.3172996250536642E-2</v>
      </c>
      <c r="F58" s="105"/>
      <c r="G58" s="250">
        <f>+G56/G57</f>
        <v>4.8708544443237793E-2</v>
      </c>
      <c r="H58" s="104">
        <f>+H56/H57</f>
        <v>5.5059920712068909E-2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58" t="s">
        <v>124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4366.8451463988595</v>
      </c>
      <c r="N63" s="76">
        <f>E55</f>
        <v>3795.0623623239553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240.78831121000002</v>
      </c>
      <c r="N64" s="76">
        <f>E56</f>
        <v>255.91220089313239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58" t="s">
        <v>124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113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119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2019</v>
      </c>
      <c r="O75" s="55">
        <v>2020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0"/>
      <c r="D76" s="401" t="s">
        <v>126</v>
      </c>
      <c r="E76" s="401"/>
      <c r="F76" s="106" t="s">
        <v>74</v>
      </c>
      <c r="G76" s="395" t="s">
        <v>127</v>
      </c>
      <c r="H76" s="396"/>
      <c r="I76" s="219" t="s">
        <v>74</v>
      </c>
      <c r="J76" s="19"/>
      <c r="K76" s="57"/>
      <c r="L76" s="57"/>
      <c r="M76" s="55" t="s">
        <v>96</v>
      </c>
      <c r="N76" s="70">
        <f>D78</f>
        <v>62.525423975000002</v>
      </c>
      <c r="O76" s="70">
        <f>E78</f>
        <v>7.9332501075000019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5" t="s">
        <v>95</v>
      </c>
      <c r="D77" s="126">
        <v>2019</v>
      </c>
      <c r="E77" s="224">
        <v>2020</v>
      </c>
      <c r="F77" s="107"/>
      <c r="G77" s="331">
        <v>2019</v>
      </c>
      <c r="H77" s="96">
        <v>2020</v>
      </c>
      <c r="I77" s="220"/>
      <c r="J77" s="19"/>
      <c r="K77" s="57"/>
      <c r="L77" s="57"/>
      <c r="M77" s="55" t="s">
        <v>97</v>
      </c>
      <c r="N77" s="70">
        <f>D79</f>
        <v>4356.1305690399995</v>
      </c>
      <c r="O77" s="70">
        <f>E79</f>
        <v>3881.002330580905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09" t="s">
        <v>96</v>
      </c>
      <c r="D78" s="155">
        <v>62.525423975000002</v>
      </c>
      <c r="E78" s="317">
        <v>7.9332501075000019</v>
      </c>
      <c r="F78" s="156">
        <f>((E78/D78)-1)</f>
        <v>-0.87311961114134928</v>
      </c>
      <c r="G78" s="228">
        <v>176.352812535</v>
      </c>
      <c r="H78" s="317">
        <v>22.550587550000003</v>
      </c>
      <c r="I78" s="156">
        <f>((H78/G78)-1)</f>
        <v>-0.87212799599935797</v>
      </c>
      <c r="J78" s="19"/>
      <c r="K78" s="253"/>
      <c r="L78" s="57"/>
    </row>
    <row r="79" spans="2:28" ht="16.5" customHeight="1" thickBot="1">
      <c r="C79" s="290" t="s">
        <v>97</v>
      </c>
      <c r="D79" s="158">
        <f>'Resumen (G)'!E40-D78</f>
        <v>4356.1305690399995</v>
      </c>
      <c r="E79" s="315">
        <f>'Resumen (G)'!F40-E78</f>
        <v>3881.002330580905</v>
      </c>
      <c r="F79" s="159">
        <f>((E79/D79)-1)</f>
        <v>-0.10907116555135832</v>
      </c>
      <c r="G79" s="229">
        <f>'Resumen (G)'!H40-G78</f>
        <v>26982.093269926128</v>
      </c>
      <c r="H79" s="315">
        <f>'Resumen (G)'!I40-H78</f>
        <v>23885.493687313236</v>
      </c>
      <c r="I79" s="159">
        <f>((H79/G79)-1)</f>
        <v>-0.1147649869724644</v>
      </c>
      <c r="J79" s="19"/>
      <c r="K79" s="57"/>
      <c r="L79" s="57"/>
      <c r="M79" s="70"/>
      <c r="N79" s="70"/>
      <c r="O79" s="70"/>
    </row>
    <row r="80" spans="2:28" ht="14.25" thickTop="1" thickBot="1">
      <c r="C80" s="127" t="s">
        <v>94</v>
      </c>
      <c r="D80" s="223">
        <f>SUM(D78:D79)</f>
        <v>4418.6559930149997</v>
      </c>
      <c r="E80" s="316">
        <f>SUM(E78:E79)</f>
        <v>3888.935580688405</v>
      </c>
      <c r="F80" s="128"/>
      <c r="G80" s="251">
        <f>SUM(G78:G79)</f>
        <v>27158.446082461127</v>
      </c>
      <c r="H80" s="316">
        <f>SUM(H78:H79)</f>
        <v>23908.044274863234</v>
      </c>
      <c r="I80" s="128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8"/>
  <sheetViews>
    <sheetView view="pageBreakPreview" topLeftCell="A37" zoomScale="70" zoomScaleNormal="100" zoomScaleSheetLayoutView="70" workbookViewId="0">
      <selection activeCell="C54" sqref="C54:H60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2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120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1" t="s">
        <v>44</v>
      </c>
      <c r="D8" s="409" t="s">
        <v>126</v>
      </c>
      <c r="E8" s="410"/>
      <c r="F8" s="397" t="s">
        <v>74</v>
      </c>
      <c r="G8" s="395" t="s">
        <v>127</v>
      </c>
      <c r="H8" s="396"/>
      <c r="I8" s="397" t="s">
        <v>74</v>
      </c>
      <c r="J8" s="26"/>
    </row>
    <row r="9" spans="2:13" s="1" customFormat="1" ht="13.5" customHeight="1">
      <c r="B9" s="19"/>
      <c r="C9" s="202"/>
      <c r="D9" s="110">
        <v>2019</v>
      </c>
      <c r="E9" s="96">
        <v>2020</v>
      </c>
      <c r="F9" s="398"/>
      <c r="G9" s="232">
        <v>2019</v>
      </c>
      <c r="H9" s="96">
        <v>2020</v>
      </c>
      <c r="I9" s="398"/>
      <c r="J9" s="26"/>
    </row>
    <row r="10" spans="2:13">
      <c r="C10" s="192" t="s">
        <v>10</v>
      </c>
      <c r="D10" s="193">
        <f>'Por Región (G)'!O8</f>
        <v>286.8897841265354</v>
      </c>
      <c r="E10" s="194">
        <f>'Por Región (G)'!P8</f>
        <v>328.23064602707569</v>
      </c>
      <c r="F10" s="369">
        <f>+E10/D10-1</f>
        <v>0.14410015339656201</v>
      </c>
      <c r="G10" s="327">
        <f>'Por Región (G)'!Q8</f>
        <v>1848.0804244118638</v>
      </c>
      <c r="H10" s="194">
        <f>'Por Región (G)'!R8</f>
        <v>1769.984136380778</v>
      </c>
      <c r="I10" s="369">
        <f>+H10/G10-1</f>
        <v>-4.2258057062608212E-2</v>
      </c>
      <c r="J10" s="26"/>
      <c r="L10" s="144" t="s">
        <v>9</v>
      </c>
      <c r="M10" s="225">
        <f>E11</f>
        <v>3180.9893170490309</v>
      </c>
    </row>
    <row r="11" spans="2:13">
      <c r="C11" s="195" t="s">
        <v>9</v>
      </c>
      <c r="D11" s="196">
        <f>'Por Región (G)'!O9</f>
        <v>3719.4353796582827</v>
      </c>
      <c r="E11" s="197">
        <f>'Por Región (G)'!P9</f>
        <v>3180.9893170490309</v>
      </c>
      <c r="F11" s="370">
        <f>+E11/D11-1</f>
        <v>-0.14476553768188349</v>
      </c>
      <c r="G11" s="328">
        <f>'Por Región (G)'!Q9</f>
        <v>22564.41019572498</v>
      </c>
      <c r="H11" s="197">
        <f>'Por Región (G)'!R9</f>
        <v>19516.914013353195</v>
      </c>
      <c r="I11" s="370">
        <f>+H11/G11-1</f>
        <v>-0.13505764856859237</v>
      </c>
      <c r="J11" s="26"/>
      <c r="L11" s="144" t="s">
        <v>12</v>
      </c>
      <c r="M11" s="225">
        <f>E12</f>
        <v>514.38997414098287</v>
      </c>
    </row>
    <row r="12" spans="2:13">
      <c r="C12" s="195" t="s">
        <v>12</v>
      </c>
      <c r="D12" s="196">
        <f>'Por Región (G)'!O10</f>
        <v>528.57719609070944</v>
      </c>
      <c r="E12" s="197">
        <f>'Por Región (G)'!P10</f>
        <v>514.38997414098287</v>
      </c>
      <c r="F12" s="370">
        <f>+E12/D12-1</f>
        <v>-2.684039730554677E-2</v>
      </c>
      <c r="G12" s="328">
        <f>'Por Región (G)'!Q10</f>
        <v>3585.8522180812211</v>
      </c>
      <c r="H12" s="197">
        <f>'Por Región (G)'!R10</f>
        <v>3423.7019508890498</v>
      </c>
      <c r="I12" s="370">
        <f>+H12/G12-1</f>
        <v>-4.5219450588216747E-2</v>
      </c>
      <c r="J12" s="26"/>
      <c r="L12" s="144" t="s">
        <v>10</v>
      </c>
      <c r="M12" s="225">
        <f>E10</f>
        <v>328.23064602707569</v>
      </c>
    </row>
    <row r="13" spans="2:13">
      <c r="C13" s="198" t="s">
        <v>11</v>
      </c>
      <c r="D13" s="199">
        <f>'Por Región (G)'!O11</f>
        <v>72.731097733333328</v>
      </c>
      <c r="E13" s="200">
        <f>'Por Región (G)'!P11</f>
        <v>27.364626000000005</v>
      </c>
      <c r="F13" s="371">
        <f>+E13/D13-1</f>
        <v>-0.62375618060472982</v>
      </c>
      <c r="G13" s="329">
        <f>'Por Región (G)'!Q11</f>
        <v>410.96720640000001</v>
      </c>
      <c r="H13" s="200">
        <f>'Por Región (G)'!R11</f>
        <v>295.27641051474586</v>
      </c>
      <c r="I13" s="371">
        <f>+H13/G13-1</f>
        <v>-0.28150858288349823</v>
      </c>
      <c r="J13" s="26"/>
      <c r="L13" s="144" t="s">
        <v>11</v>
      </c>
      <c r="M13" s="225">
        <f>E13</f>
        <v>27.364626000000005</v>
      </c>
    </row>
    <row r="14" spans="2:13" ht="13.5" thickBot="1">
      <c r="C14" s="203" t="s">
        <v>106</v>
      </c>
      <c r="D14" s="204">
        <f>SUM(D10:D13)</f>
        <v>4607.6334576088611</v>
      </c>
      <c r="E14" s="205">
        <f>SUM(E10:E13)</f>
        <v>4050.9745632170893</v>
      </c>
      <c r="F14" s="206">
        <f>+E14/D14-1</f>
        <v>-0.12081232144725562</v>
      </c>
      <c r="G14" s="330">
        <f>SUM(G10:G13)</f>
        <v>28409.310044618065</v>
      </c>
      <c r="H14" s="205">
        <f>SUM(H10:H13)</f>
        <v>25005.876511137769</v>
      </c>
      <c r="I14" s="206">
        <f>+H14/G14-1</f>
        <v>-0.11979993629324526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406" t="s">
        <v>93</v>
      </c>
      <c r="D18" s="406"/>
      <c r="E18" s="406"/>
      <c r="F18" s="406"/>
      <c r="G18" s="407" t="s">
        <v>105</v>
      </c>
      <c r="H18" s="408"/>
      <c r="I18" s="408"/>
      <c r="J18" s="408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23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5" thickBot="1">
      <c r="C53" s="207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402" t="s">
        <v>13</v>
      </c>
      <c r="D54" s="404" t="s">
        <v>131</v>
      </c>
      <c r="E54" s="405"/>
      <c r="F54" s="405"/>
      <c r="G54" s="405"/>
      <c r="H54" s="405"/>
      <c r="I54" s="19"/>
      <c r="J54" s="19"/>
    </row>
    <row r="55" spans="3:13">
      <c r="C55" s="403"/>
      <c r="D55" s="113" t="s">
        <v>14</v>
      </c>
      <c r="E55" s="335" t="s">
        <v>15</v>
      </c>
      <c r="F55" s="335" t="s">
        <v>5</v>
      </c>
      <c r="G55" s="114" t="s">
        <v>16</v>
      </c>
      <c r="H55" s="348" t="s">
        <v>71</v>
      </c>
      <c r="I55" s="19"/>
      <c r="J55" s="19"/>
    </row>
    <row r="56" spans="3:13">
      <c r="C56" s="208" t="s">
        <v>10</v>
      </c>
      <c r="D56" s="324">
        <f>'Resumen (G)'!F14-'PorZona (G)'!D58</f>
        <v>90.913097619999917</v>
      </c>
      <c r="E56" s="336">
        <v>114.57120541919637</v>
      </c>
      <c r="F56" s="336">
        <v>0</v>
      </c>
      <c r="G56" s="212">
        <v>122.74634298787942</v>
      </c>
      <c r="H56" s="349">
        <f>SUM(D56:G56)</f>
        <v>328.23064602707569</v>
      </c>
      <c r="I56" s="319"/>
      <c r="K56" s="301"/>
      <c r="L56" s="314">
        <v>328.23064602707569</v>
      </c>
      <c r="M56" s="359">
        <f>L56-SUM(D56:F56)</f>
        <v>122.74634298787942</v>
      </c>
    </row>
    <row r="57" spans="3:13">
      <c r="C57" s="209" t="s">
        <v>9</v>
      </c>
      <c r="D57" s="325">
        <v>0</v>
      </c>
      <c r="E57" s="337">
        <v>1852.2511884092394</v>
      </c>
      <c r="F57" s="338">
        <v>6.463E-3</v>
      </c>
      <c r="G57" s="213">
        <v>1328.7316656397916</v>
      </c>
      <c r="H57" s="350">
        <f>SUM(D57:G57)</f>
        <v>3180.9893170490309</v>
      </c>
      <c r="I57" s="319"/>
      <c r="K57" s="301"/>
      <c r="L57" s="314">
        <v>3180.9893170490309</v>
      </c>
      <c r="M57" s="359">
        <f t="shared" ref="M57:M58" si="0">L57-SUM(D57:F57)</f>
        <v>1328.7316656397916</v>
      </c>
    </row>
    <row r="58" spans="3:13">
      <c r="C58" s="209" t="s">
        <v>12</v>
      </c>
      <c r="D58" s="325">
        <v>71.073567162500012</v>
      </c>
      <c r="E58" s="337">
        <v>283.74598675830077</v>
      </c>
      <c r="F58" s="339">
        <f>'Resumen (G)'!D15-0.006463</f>
        <v>55.06419019749999</v>
      </c>
      <c r="G58" s="213">
        <v>104.50623002268208</v>
      </c>
      <c r="H58" s="350">
        <f>SUM(D58:G58)</f>
        <v>514.38997414098287</v>
      </c>
      <c r="I58" s="319"/>
      <c r="K58" s="301"/>
      <c r="L58" s="314">
        <v>514.38997414098287</v>
      </c>
      <c r="M58" s="359">
        <f t="shared" si="0"/>
        <v>104.50623002268208</v>
      </c>
    </row>
    <row r="59" spans="3:13">
      <c r="C59" s="210" t="s">
        <v>11</v>
      </c>
      <c r="D59" s="326">
        <v>0</v>
      </c>
      <c r="E59" s="340">
        <v>0</v>
      </c>
      <c r="F59" s="340">
        <v>0</v>
      </c>
      <c r="G59" s="214">
        <f>E13</f>
        <v>27.364626000000005</v>
      </c>
      <c r="H59" s="351">
        <f>SUM(D59:G59)</f>
        <v>27.364626000000005</v>
      </c>
      <c r="I59" s="319"/>
      <c r="K59" s="19"/>
      <c r="L59" s="314">
        <v>27.364626000000005</v>
      </c>
      <c r="M59" s="314"/>
    </row>
    <row r="60" spans="3:13" ht="13.5" thickBot="1">
      <c r="C60" s="115" t="s">
        <v>106</v>
      </c>
      <c r="D60" s="215">
        <f>SUM(D56:D59)</f>
        <v>161.98666478249993</v>
      </c>
      <c r="E60" s="341">
        <f>SUM(E56:E59)</f>
        <v>2250.5683805867366</v>
      </c>
      <c r="F60" s="341">
        <f>SUM(F56:F59)</f>
        <v>55.070653197499986</v>
      </c>
      <c r="G60" s="216">
        <f>SUM(G56:G59)</f>
        <v>1583.3488646503531</v>
      </c>
      <c r="H60" s="352">
        <f>SUM(H56:H59)</f>
        <v>4050.9745632170893</v>
      </c>
      <c r="I60" s="19"/>
      <c r="J60" s="19"/>
      <c r="M60" s="314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301"/>
      <c r="G63" s="19"/>
      <c r="H63" s="19"/>
      <c r="I63" s="19"/>
      <c r="J63" s="19"/>
    </row>
    <row r="64" spans="3:13">
      <c r="F64" s="301"/>
      <c r="H64" s="121"/>
    </row>
    <row r="65" spans="5:6">
      <c r="F65" s="301"/>
    </row>
    <row r="67" spans="5:6">
      <c r="E67" s="322"/>
    </row>
    <row r="68" spans="5:6">
      <c r="E68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view="pageBreakPreview" zoomScale="80" zoomScaleNormal="100" zoomScaleSheetLayoutView="80" workbookViewId="0">
      <selection activeCell="C6" sqref="C6:I3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8" t="s">
        <v>60</v>
      </c>
      <c r="D6" s="409" t="s">
        <v>126</v>
      </c>
      <c r="E6" s="410"/>
      <c r="F6" s="397" t="s">
        <v>74</v>
      </c>
      <c r="G6" s="395" t="s">
        <v>127</v>
      </c>
      <c r="H6" s="396"/>
      <c r="I6" s="397" t="s">
        <v>74</v>
      </c>
      <c r="O6" s="47"/>
      <c r="P6" s="86"/>
      <c r="Q6" s="411" t="s">
        <v>114</v>
      </c>
      <c r="R6" s="411"/>
    </row>
    <row r="7" spans="3:19" ht="12.75" customHeight="1">
      <c r="C7" s="109"/>
      <c r="D7" s="110">
        <v>2019</v>
      </c>
      <c r="E7" s="96">
        <v>2020</v>
      </c>
      <c r="F7" s="398"/>
      <c r="G7" s="232">
        <v>2019</v>
      </c>
      <c r="H7" s="96">
        <v>2020</v>
      </c>
      <c r="I7" s="398"/>
      <c r="N7" s="54"/>
      <c r="O7" s="311">
        <v>2019</v>
      </c>
      <c r="P7" s="313">
        <v>2020</v>
      </c>
      <c r="Q7" s="54">
        <v>2019</v>
      </c>
      <c r="R7" s="54">
        <v>2020</v>
      </c>
    </row>
    <row r="8" spans="3:19" ht="20.100000000000001" customHeight="1">
      <c r="C8" s="117" t="s">
        <v>17</v>
      </c>
      <c r="D8" s="217">
        <v>4.224869</v>
      </c>
      <c r="E8" s="278">
        <v>3.162272832831531</v>
      </c>
      <c r="F8" s="372">
        <f>+E8/D8-1</f>
        <v>-0.2515098496943855</v>
      </c>
      <c r="G8" s="233">
        <v>31.737561000000003</v>
      </c>
      <c r="H8" s="278">
        <v>18.326234451326123</v>
      </c>
      <c r="I8" s="372">
        <f>+H8/G8-1</f>
        <v>-0.42256953987969903</v>
      </c>
      <c r="J8" s="26"/>
      <c r="K8" s="46"/>
      <c r="L8" s="46"/>
      <c r="N8" s="57" t="s">
        <v>10</v>
      </c>
      <c r="O8" s="71">
        <f>SUM(D8,D13,D20,D21,D27,D29,D31)</f>
        <v>286.8897841265354</v>
      </c>
      <c r="P8" s="71">
        <f t="shared" ref="P8" si="0">SUM(E8,E13,E20,E21,E27,E29,E31)</f>
        <v>328.23064602707569</v>
      </c>
      <c r="Q8" s="71">
        <f>SUM(G8,G13,G20,G21,G27,G29,G31)</f>
        <v>1848.0804244118638</v>
      </c>
      <c r="R8" s="71">
        <f>SUM(H8,H13,H20,H21,H27,H29,H31)</f>
        <v>1769.984136380778</v>
      </c>
    </row>
    <row r="9" spans="3:19" ht="20.100000000000001" customHeight="1">
      <c r="C9" s="118" t="s">
        <v>18</v>
      </c>
      <c r="D9" s="218">
        <v>127.56442370000001</v>
      </c>
      <c r="E9" s="279">
        <v>125.79887281669224</v>
      </c>
      <c r="F9" s="373">
        <f t="shared" ref="F9:F32" si="1">+E9/D9-1</f>
        <v>-1.3840464544095044E-2</v>
      </c>
      <c r="G9" s="234">
        <v>1362.2749172000001</v>
      </c>
      <c r="H9" s="279">
        <v>1347.4028757617689</v>
      </c>
      <c r="I9" s="375">
        <f t="shared" ref="I9:I32" si="2">+H9/G9-1</f>
        <v>-1.0917063252400605E-2</v>
      </c>
      <c r="J9" s="26"/>
      <c r="K9" s="46"/>
      <c r="L9" s="46"/>
      <c r="N9" s="57" t="s">
        <v>9</v>
      </c>
      <c r="O9" s="311">
        <f>SUM(D9,D14,D16,D17,D19,D22,D26,D32)</f>
        <v>3719.4353796582827</v>
      </c>
      <c r="P9" s="311">
        <f>SUM(E9,E14,E16,E17,E19,E22,E26,E32)</f>
        <v>3180.9893170490309</v>
      </c>
      <c r="Q9" s="311">
        <f>SUM(G9,G14,G16,G17,G19,G22,G26,G32)</f>
        <v>22564.41019572498</v>
      </c>
      <c r="R9" s="311">
        <f>SUM(H9,H14,H16,H17,H19,H22,H26,H32)</f>
        <v>19516.914013353195</v>
      </c>
    </row>
    <row r="10" spans="3:19" ht="20.100000000000001" customHeight="1">
      <c r="C10" s="119" t="s">
        <v>19</v>
      </c>
      <c r="D10" s="218">
        <v>2.9433663317447301</v>
      </c>
      <c r="E10" s="279">
        <v>3.4232074662955454</v>
      </c>
      <c r="F10" s="373">
        <f t="shared" si="1"/>
        <v>0.16302460532202301</v>
      </c>
      <c r="G10" s="234">
        <v>25.133842895197958</v>
      </c>
      <c r="H10" s="279">
        <v>27.231174642739902</v>
      </c>
      <c r="I10" s="373">
        <f t="shared" si="2"/>
        <v>8.3446520943387448E-2</v>
      </c>
      <c r="J10" s="26"/>
      <c r="K10" s="46"/>
      <c r="L10" s="46"/>
      <c r="N10" s="54" t="s">
        <v>12</v>
      </c>
      <c r="O10" s="311">
        <f>SUM(D10,D11,D12,D15,D18,D24,D25,D28,D30)</f>
        <v>528.57719609070944</v>
      </c>
      <c r="P10" s="311">
        <f t="shared" ref="P10" si="3">SUM(E10,E11,E12,E15,E18,E24,E25,E28,E30)</f>
        <v>514.38997414098287</v>
      </c>
      <c r="Q10" s="311">
        <f>SUM(G10,G11,G12,G15,G18,G24,G25,G28,G30)</f>
        <v>3585.8522180812211</v>
      </c>
      <c r="R10" s="311">
        <f>SUM(H10,H11,H12,H15,H18,H24,H25,H28,H30)</f>
        <v>3423.7019508890498</v>
      </c>
    </row>
    <row r="11" spans="3:19" ht="20.100000000000001" customHeight="1">
      <c r="C11" s="118" t="s">
        <v>20</v>
      </c>
      <c r="D11" s="333">
        <v>89.524484990217076</v>
      </c>
      <c r="E11" s="306">
        <v>89.822616110605964</v>
      </c>
      <c r="F11" s="374">
        <f t="shared" si="1"/>
        <v>3.3301629204733896E-3</v>
      </c>
      <c r="G11" s="234">
        <v>626.15260479884898</v>
      </c>
      <c r="H11" s="279">
        <v>681.73290605132172</v>
      </c>
      <c r="I11" s="373">
        <f t="shared" si="2"/>
        <v>8.8764784856764756E-2</v>
      </c>
      <c r="J11" s="26"/>
      <c r="K11" s="46"/>
      <c r="L11" s="46"/>
      <c r="N11" s="312" t="s">
        <v>11</v>
      </c>
      <c r="O11" s="71">
        <f>D23</f>
        <v>72.731097733333328</v>
      </c>
      <c r="P11" s="71">
        <f t="shared" ref="P11" si="4">E23</f>
        <v>27.364626000000005</v>
      </c>
      <c r="Q11" s="71">
        <f>G23</f>
        <v>410.96720640000001</v>
      </c>
      <c r="R11" s="71">
        <f>H23</f>
        <v>295.27641051474586</v>
      </c>
    </row>
    <row r="12" spans="3:19" ht="20.100000000000001" customHeight="1">
      <c r="C12" s="118" t="s">
        <v>21</v>
      </c>
      <c r="D12" s="333">
        <v>0.70347733958093595</v>
      </c>
      <c r="E12" s="306">
        <v>0.89280815741477493</v>
      </c>
      <c r="F12" s="373">
        <f t="shared" si="1"/>
        <v>0.26913563121539075</v>
      </c>
      <c r="G12" s="332">
        <v>4.3731023646741969</v>
      </c>
      <c r="H12" s="306">
        <v>5.5499378424883306</v>
      </c>
      <c r="I12" s="373">
        <f t="shared" si="2"/>
        <v>0.26910769053122996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18">
        <v>89.373232206396167</v>
      </c>
      <c r="E13" s="279">
        <v>77.012273153983045</v>
      </c>
      <c r="F13" s="373">
        <f t="shared" si="1"/>
        <v>-0.13830717259802183</v>
      </c>
      <c r="G13" s="234">
        <v>710.17125165739571</v>
      </c>
      <c r="H13" s="279">
        <v>670.07233824740081</v>
      </c>
      <c r="I13" s="373">
        <f t="shared" si="2"/>
        <v>-5.6463723808042321E-2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18">
        <v>338.52131546531075</v>
      </c>
      <c r="E14" s="279">
        <v>207.07529559781079</v>
      </c>
      <c r="F14" s="373">
        <f t="shared" si="1"/>
        <v>-0.38829466229274889</v>
      </c>
      <c r="G14" s="234">
        <v>1528.4879061893648</v>
      </c>
      <c r="H14" s="279">
        <v>799.71080446436486</v>
      </c>
      <c r="I14" s="373">
        <f t="shared" si="2"/>
        <v>-0.47679611907554831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18">
        <v>154.25928606666668</v>
      </c>
      <c r="E15" s="279">
        <v>188.30359894166662</v>
      </c>
      <c r="F15" s="373">
        <f t="shared" si="1"/>
        <v>0.22069538724746152</v>
      </c>
      <c r="G15" s="234">
        <v>1139.7801178</v>
      </c>
      <c r="H15" s="279">
        <v>1007.7883315474999</v>
      </c>
      <c r="I15" s="375">
        <f t="shared" si="2"/>
        <v>-0.11580460493316047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18">
        <v>813.34817601923623</v>
      </c>
      <c r="E16" s="279">
        <v>820.05341761582463</v>
      </c>
      <c r="F16" s="373">
        <f t="shared" si="1"/>
        <v>8.2439990575817745E-3</v>
      </c>
      <c r="G16" s="234">
        <v>5316.7803309068286</v>
      </c>
      <c r="H16" s="279">
        <v>5472.6937995062981</v>
      </c>
      <c r="I16" s="374">
        <f t="shared" si="2"/>
        <v>2.9324790361026087E-2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18">
        <v>117.88081713333332</v>
      </c>
      <c r="E17" s="279">
        <v>121.98719465833342</v>
      </c>
      <c r="F17" s="373">
        <f t="shared" si="1"/>
        <v>3.483499372383414E-2</v>
      </c>
      <c r="G17" s="234">
        <v>1600.3094618</v>
      </c>
      <c r="H17" s="279">
        <v>1561.9152209625001</v>
      </c>
      <c r="I17" s="375">
        <f t="shared" si="2"/>
        <v>-2.3991760190128941E-2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18">
        <v>147.20553806666669</v>
      </c>
      <c r="E18" s="279">
        <v>99.170172396666672</v>
      </c>
      <c r="F18" s="373">
        <f t="shared" si="1"/>
        <v>-0.32631493557155222</v>
      </c>
      <c r="G18" s="234">
        <v>861.17182639999999</v>
      </c>
      <c r="H18" s="279">
        <v>690.58718002749993</v>
      </c>
      <c r="I18" s="373">
        <f t="shared" si="2"/>
        <v>-0.19808433246777668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18">
        <v>201.60862646666666</v>
      </c>
      <c r="E19" s="279">
        <v>198.80270650416662</v>
      </c>
      <c r="F19" s="373">
        <f t="shared" si="1"/>
        <v>-1.3917658245461872E-2</v>
      </c>
      <c r="G19" s="234">
        <v>1648.6001388</v>
      </c>
      <c r="H19" s="279">
        <v>1693.4848298775</v>
      </c>
      <c r="I19" s="375">
        <f t="shared" si="2"/>
        <v>2.7225941585914848E-2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18">
        <v>51.423053955133959</v>
      </c>
      <c r="E20" s="279">
        <v>107.09998207878446</v>
      </c>
      <c r="F20" s="375">
        <f t="shared" si="1"/>
        <v>1.0827230948249009</v>
      </c>
      <c r="G20" s="234">
        <v>357.79563221443573</v>
      </c>
      <c r="H20" s="279">
        <v>411.7596324830053</v>
      </c>
      <c r="I20" s="373">
        <f t="shared" si="2"/>
        <v>0.15082352999834159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33">
        <v>5.4107330166666676</v>
      </c>
      <c r="E21" s="306">
        <v>4.6282810141666682</v>
      </c>
      <c r="F21" s="373">
        <f t="shared" si="1"/>
        <v>-0.1446110906026622</v>
      </c>
      <c r="G21" s="234">
        <v>31.495008850000005</v>
      </c>
      <c r="H21" s="279">
        <v>29.947008152500008</v>
      </c>
      <c r="I21" s="373">
        <f t="shared" si="2"/>
        <v>-4.9150667169918782E-2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18">
        <v>2025.5777445404026</v>
      </c>
      <c r="E22" s="279">
        <v>1648.5262151551885</v>
      </c>
      <c r="F22" s="373">
        <f t="shared" si="1"/>
        <v>-0.18614517779013506</v>
      </c>
      <c r="G22" s="234">
        <v>10431.668726487413</v>
      </c>
      <c r="H22" s="279">
        <v>8066.8952845054146</v>
      </c>
      <c r="I22" s="373">
        <f t="shared" si="2"/>
        <v>-0.22669176945559244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218">
        <v>72.731097733333328</v>
      </c>
      <c r="E23" s="279">
        <v>27.364626000000005</v>
      </c>
      <c r="F23" s="373">
        <f t="shared" si="1"/>
        <v>-0.62375618060472982</v>
      </c>
      <c r="G23" s="234">
        <v>410.96720640000001</v>
      </c>
      <c r="H23" s="279">
        <v>295.27641051474586</v>
      </c>
      <c r="I23" s="373">
        <f t="shared" si="2"/>
        <v>-0.28150858288349823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33">
        <v>0.17383100000000001</v>
      </c>
      <c r="E24" s="306">
        <v>0.11931099249999999</v>
      </c>
      <c r="F24" s="373">
        <f t="shared" si="1"/>
        <v>-0.313638001852374</v>
      </c>
      <c r="G24" s="332">
        <v>0.89328500000000022</v>
      </c>
      <c r="H24" s="306">
        <v>4.6652563100000002</v>
      </c>
      <c r="I24" s="375">
        <f t="shared" si="2"/>
        <v>4.222584404753241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18">
        <v>49.617693333333328</v>
      </c>
      <c r="E25" s="279">
        <v>49.484893710833333</v>
      </c>
      <c r="F25" s="374">
        <f t="shared" si="1"/>
        <v>-2.6764569970603169E-3</v>
      </c>
      <c r="G25" s="234">
        <v>315.09501399999999</v>
      </c>
      <c r="H25" s="279">
        <v>310.46108139499995</v>
      </c>
      <c r="I25" s="373">
        <f t="shared" si="2"/>
        <v>-1.4706461223153555E-2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18">
        <v>70.759814999999989</v>
      </c>
      <c r="E26" s="279">
        <v>57.321633563514943</v>
      </c>
      <c r="F26" s="373">
        <f t="shared" si="1"/>
        <v>-0.18991261405198767</v>
      </c>
      <c r="G26" s="234">
        <v>558.904571341375</v>
      </c>
      <c r="H26" s="279">
        <v>549.98495511117972</v>
      </c>
      <c r="I26" s="373">
        <f t="shared" si="2"/>
        <v>-1.5959104089608989E-2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18">
        <v>131.63838394833866</v>
      </c>
      <c r="E27" s="279">
        <v>130.35983094730994</v>
      </c>
      <c r="F27" s="373">
        <f t="shared" si="1"/>
        <v>-9.712615444523176E-3</v>
      </c>
      <c r="G27" s="234">
        <v>680.12145269003213</v>
      </c>
      <c r="H27" s="279">
        <v>603.19128404654566</v>
      </c>
      <c r="I27" s="373">
        <f t="shared" si="2"/>
        <v>-0.11311239829182052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18">
        <v>72.179019962499993</v>
      </c>
      <c r="E28" s="279">
        <v>70.660446279999988</v>
      </c>
      <c r="F28" s="373">
        <f t="shared" si="1"/>
        <v>-2.1038990045708084E-2</v>
      </c>
      <c r="G28" s="234">
        <v>537.76642582249997</v>
      </c>
      <c r="H28" s="279">
        <v>618.66699856499997</v>
      </c>
      <c r="I28" s="373">
        <f t="shared" si="2"/>
        <v>0.15043812491411046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218">
        <v>3.6940519999999997</v>
      </c>
      <c r="E29" s="306">
        <v>4.8674580000000001</v>
      </c>
      <c r="F29" s="373">
        <f t="shared" si="1"/>
        <v>0.31764739640914641</v>
      </c>
      <c r="G29" s="358">
        <v>30.066700000000001</v>
      </c>
      <c r="H29" s="353">
        <v>30.084350999999998</v>
      </c>
      <c r="I29" s="374">
        <f t="shared" si="2"/>
        <v>5.870614334129165E-4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333">
        <v>11.970499</v>
      </c>
      <c r="E30" s="306">
        <v>12.512920084999998</v>
      </c>
      <c r="F30" s="373">
        <f t="shared" si="1"/>
        <v>4.5313155700526631E-2</v>
      </c>
      <c r="G30" s="234">
        <v>75.485998999999993</v>
      </c>
      <c r="H30" s="279">
        <v>77.019084507499997</v>
      </c>
      <c r="I30" s="373">
        <f t="shared" si="2"/>
        <v>2.0309534586672173E-2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354">
        <v>1.1254600000000003</v>
      </c>
      <c r="E31" s="353">
        <v>1.1005480000000001</v>
      </c>
      <c r="F31" s="373">
        <f>+E31/D31-1</f>
        <v>-2.2134949265189552E-2</v>
      </c>
      <c r="G31" s="234">
        <v>6.6928180000000017</v>
      </c>
      <c r="H31" s="279">
        <v>6.6032880000000018</v>
      </c>
      <c r="I31" s="373">
        <f t="shared" si="2"/>
        <v>-1.3377025940343845E-2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1">
        <v>24.174461333333337</v>
      </c>
      <c r="E32" s="280">
        <v>1.4239811375000002</v>
      </c>
      <c r="F32" s="376">
        <f t="shared" si="1"/>
        <v>-0.94109564147613411</v>
      </c>
      <c r="G32" s="235">
        <v>117.38414300000001</v>
      </c>
      <c r="H32" s="280">
        <v>24.826243164166669</v>
      </c>
      <c r="I32" s="376">
        <f t="shared" si="2"/>
        <v>-0.78850428576058462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18" t="s">
        <v>106</v>
      </c>
      <c r="D33" s="111">
        <f>SUM(D8:D32)</f>
        <v>4607.633457608862</v>
      </c>
      <c r="E33" s="281">
        <f>SUM(E8:E32)</f>
        <v>4050.9745632170893</v>
      </c>
      <c r="F33" s="116">
        <f>+E33/D33-1</f>
        <v>-0.12081232144725584</v>
      </c>
      <c r="G33" s="236">
        <f>SUM(G8:G32)</f>
        <v>28409.310044618065</v>
      </c>
      <c r="H33" s="281">
        <f>SUM(H8:H32)</f>
        <v>25005.876511137769</v>
      </c>
      <c r="I33" s="237">
        <f>+H33/G33-1</f>
        <v>-0.11979993629324526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34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1648.5262151551885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820.05341761582463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207.07529559781079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198.80270650416662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23</v>
      </c>
      <c r="O48" s="53">
        <v>188.30359894166662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35</v>
      </c>
      <c r="O49" s="53">
        <v>130.35983094730994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18</v>
      </c>
      <c r="O50" s="52">
        <v>125.79887281669224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25</v>
      </c>
      <c r="O51" s="53">
        <v>121.98719465833342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28</v>
      </c>
      <c r="O52" s="53">
        <v>107.09998207878446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26</v>
      </c>
      <c r="O53" s="53">
        <v>99.170172396666672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20</v>
      </c>
      <c r="O54" s="53">
        <v>89.822616110605964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22</v>
      </c>
      <c r="O55" s="52">
        <v>77.012273153983045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36</v>
      </c>
      <c r="O56" s="53">
        <v>70.660446279999988</v>
      </c>
      <c r="P56" s="8"/>
      <c r="S56" s="91"/>
    </row>
    <row r="57" spans="3:19">
      <c r="N57" s="51" t="s">
        <v>34</v>
      </c>
      <c r="O57" s="52">
        <v>57.321633563514943</v>
      </c>
      <c r="S57" s="91"/>
    </row>
    <row r="58" spans="3:19">
      <c r="N58" s="51" t="s">
        <v>33</v>
      </c>
      <c r="O58" s="52">
        <v>49.484893710833333</v>
      </c>
      <c r="S58" s="91"/>
    </row>
    <row r="59" spans="3:19">
      <c r="N59" s="51" t="s">
        <v>31</v>
      </c>
      <c r="O59" s="52">
        <v>27.364626000000005</v>
      </c>
      <c r="S59" s="91"/>
    </row>
    <row r="60" spans="3:19">
      <c r="N60" s="51" t="s">
        <v>38</v>
      </c>
      <c r="O60" s="52">
        <v>12.512920084999998</v>
      </c>
      <c r="S60" s="91"/>
    </row>
    <row r="61" spans="3:19">
      <c r="N61" s="51" t="s">
        <v>37</v>
      </c>
      <c r="O61" s="52">
        <v>4.8674580000000001</v>
      </c>
      <c r="S61" s="91"/>
    </row>
    <row r="62" spans="3:19">
      <c r="N62" s="51" t="s">
        <v>29</v>
      </c>
      <c r="O62" s="52">
        <v>4.6282810141666682</v>
      </c>
      <c r="S62" s="91"/>
    </row>
    <row r="63" spans="3:19">
      <c r="N63" s="50" t="s">
        <v>19</v>
      </c>
      <c r="O63" s="53">
        <v>3.4232074662955454</v>
      </c>
      <c r="S63" s="91"/>
    </row>
    <row r="64" spans="3:19">
      <c r="N64" s="50" t="s">
        <v>17</v>
      </c>
      <c r="O64" s="53">
        <v>3.162272832831531</v>
      </c>
      <c r="S64" s="91"/>
    </row>
    <row r="65" spans="6:19">
      <c r="N65" s="50" t="s">
        <v>40</v>
      </c>
      <c r="O65" s="53">
        <v>1.4239811375000002</v>
      </c>
      <c r="S65" s="91"/>
    </row>
    <row r="66" spans="6:19">
      <c r="N66" s="50" t="s">
        <v>39</v>
      </c>
      <c r="O66" s="53">
        <v>1.1005480000000001</v>
      </c>
      <c r="S66" s="91"/>
    </row>
    <row r="67" spans="6:19">
      <c r="N67" s="51" t="s">
        <v>21</v>
      </c>
      <c r="O67" s="52">
        <v>0.89280815741477493</v>
      </c>
      <c r="S67" s="91"/>
    </row>
    <row r="68" spans="6:19">
      <c r="N68" s="9" t="s">
        <v>32</v>
      </c>
      <c r="O68" s="52">
        <v>0.11931099249999999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Dora</cp:lastModifiedBy>
  <cp:lastPrinted>2019-06-07T20:06:27Z</cp:lastPrinted>
  <dcterms:created xsi:type="dcterms:W3CDTF">2018-08-23T14:00:28Z</dcterms:created>
  <dcterms:modified xsi:type="dcterms:W3CDTF">2020-07-16T16:12:53Z</dcterms:modified>
</cp:coreProperties>
</file>